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ічень 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<sst xmlns="http://schemas.openxmlformats.org/spreadsheetml/2006/main" count="199" uniqueCount="187">
  <si>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</si>
  <si>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</si>
  <si>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</si>
  <si>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</si>
  <si>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</si>
  <si>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</si>
  <si>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</si>
  <si>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</si>
  <si>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</si>
  <si>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</si>
  <si>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</si>
  <si>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</si>
  <si>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</si>
  <si>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</si>
  <si>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</si>
  <si>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</si>
  <si>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</si>
  <si>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</si>
  <si>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</si>
  <si>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</si>
  <si>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</si>
  <si>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</si>
  <si>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</si>
  <si>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</si>
  <si>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</si>
  <si>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</si>
  <si>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</si>
  <si>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</si>
  <si>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</si>
  <si>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</si>
  <si>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</si>
  <si>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</si>
  <si>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</si>
  <si>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</si>
  <si>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</si>
  <si>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</si>
  <si>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</si>
  <si>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</si>
  <si>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</si>
  <si>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</si>
  <si>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</si>
  <si>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</si>
  <si>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</si>
  <si>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</si>
  <si>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</si>
  <si>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</si>
  <si>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</si>
  <si>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</si>
  <si>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</si>
  <si>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</si>
  <si>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</si>
  <si>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</si>
  <si>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</si>
  <si>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</si>
  <si>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</si>
  <si>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</si>
  <si>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</si>
  <si>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</si>
  <si>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</si>
  <si>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</si>
  <si>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</si>
  <si>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</si>
  <si>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</si>
  <si>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</si>
  <si>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</si>
  <si>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</si>
  <si>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</si>
  <si>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</si>
  <si>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</si>
  <si>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</si>
  <si>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</si>
  <si>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</si>
  <si>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</si>
  <si>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</si>
  <si>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</si>
  <si>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</si>
  <si>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</si>
  <si>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</si>
  <si>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</si>
  <si>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</si>
  <si>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</si>
  <si>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</si>
  <si>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</si>
  <si>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</si>
  <si>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</si>
  <si>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</si>
  <si>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</si>
  <si>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</si>
  <si>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</si>
  <si>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</si>
  <si>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</si>
  <si>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</si>
  <si>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</si>
  <si>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</si>
  <si>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</si>
  <si>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</si>
  <si>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</si>
  <si>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</si>
  <si>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</si>
  <si>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</si>
  <si>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</si>
  <si>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</si>
  <si>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</si>
  <si>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</si>
  <si>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</si>
  <si>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</si>
  <si>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</si>
  <si>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</si>
  <si>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</si>
  <si>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</si>
  <si>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</si>
  <si>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</si>
  <si>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</si>
  <si>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</si>
  <si>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</si>
  <si>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</si>
  <si>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</si>
  <si>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</si>
  <si>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</si>
  <si>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</si>
  <si>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</si>
  <si>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</si>
  <si>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</si>
  <si>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</si>
  <si>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</si>
  <si>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</si>
  <si>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</si>
  <si>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</si>
  <si>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</si>
  <si>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</si>
  <si>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</si>
  <si>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</si>
  <si>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</si>
  <si>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</si>
  <si>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</si>
  <si>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</si>
  <si>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</si>
  <si>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Реєстраційний збір за проведення державної реєстрації юридичних осіб та фізичних осіб-підприємців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</si>
  <si>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</si>
  <si>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</si>
  <si>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>Місцеві податки і збори нараховані до 1 січня 2011 року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</si>
  <si>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</si>
  <si>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</si>
  <si>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</si>
  <si>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</si>
  <si>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</si>
  <si>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</si>
  <si>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</si>
  <si>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</si>
  <si>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</si>
  <si>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</si>
  <si>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</si>
  <si>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</si>
  <si>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</si>
  <si>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</si>
  <si>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</si>
  <si>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</si>
  <si>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</si>
  <si>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</si>
  <si>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</si>
  <si>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</si>
  <si>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</si>
  <si>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</si>
  <si>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</si>
  <si>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</si>
  <si>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</si>
  <si>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</si>
  <si>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</si>
  <si>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</si>
  <si>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</si>
  <si>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</si>
  <si>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</si>
  <si>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</si>
  <si>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</si>
  <si>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</si>
  <si>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 xml:space="preserve">Тимчасовий план на 2014 рік </t>
  </si>
  <si>
    <t>Необхідно ще отримати до плану на січень-</t>
  </si>
  <si>
    <t>% виконання до плану на січень-</t>
  </si>
  <si>
    <t>Відхилення (+,-) до  плану на І півріччя</t>
  </si>
  <si>
    <t>% виконання  плану на І півріччя</t>
  </si>
  <si>
    <t>Динаміка  фактичних надходжень січень- 2013 та 2014 років</t>
  </si>
  <si>
    <t>Виконано у січні</t>
  </si>
  <si>
    <t xml:space="preserve">Тимчасовий план на січень  місяць  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</si>
  <si>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</si>
  <si>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</si>
  <si>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14.01.14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</si>
  <si>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23.01.2014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</si>
</sst>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Лист4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5250-сф"/>
      <sheetName val="очік-01"/>
      <sheetName val="депозит"/>
      <sheetName val="залишки  (2)"/>
      <sheetName val="надх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онтр.показ. Мінф"/>
      <sheetName val="кредити"/>
      <sheetName val="повер ПДФО"/>
      <sheetName val="очік на кредит"/>
      <sheetName val="зал. на 01.01.2013"/>
      <sheetName val="2111 з 2003р"/>
      <sheetName val="для федоренко"/>
      <sheetName val="найбільші платники"/>
    </sheetNames>
    <sheetDataSet>
      <sheetData sheetId="15">
        <row r="6">
          <cell r="G6">
            <v>108964009.66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95138787.69999999</v>
          </cell>
        </row>
      </sheetData>
      <sheetData sheetId="17">
        <row r="27">
          <cell r="C27">
            <v>990588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  <sheetName val="січень 201"/>
      <sheetName val="січень 20"/>
      <sheetName val="січень 2"/>
      <sheetName val="січень "/>
      <sheetName val="січень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87" sqref="I8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1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9.125" style="131" hidden="1" customWidth="1"/>
    <col min="19" max="16384" width="9.125" style="4" customWidth="1"/>
  </cols>
  <sheetData>
    <row r="1" spans="1:18" s="1" customFormat="1" ht="26.25" customHeight="1">
      <c r="A1" s="145" t="s">
        <v>186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26"/>
      <c r="R1" s="128"/>
    </row>
    <row r="2" spans="2:18" s="1" customFormat="1" ht="15.75" customHeight="1">
      <c r="B2" s="146"/>
      <c r="C2" s="146"/>
      <c r="D2" s="146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47"/>
      <c r="B3" s="149"/>
      <c r="C3" s="150" t="s">
        <v>0</v>
      </c>
      <c r="D3" s="151" t="s">
        <v>175</v>
      </c>
      <c r="E3" s="46"/>
      <c r="F3" s="152" t="s">
        <v>107</v>
      </c>
      <c r="G3" s="153"/>
      <c r="H3" s="153"/>
      <c r="I3" s="153"/>
      <c r="J3" s="154"/>
      <c r="K3" s="123"/>
      <c r="L3" s="123"/>
      <c r="M3" s="155" t="s">
        <v>182</v>
      </c>
      <c r="N3" s="176" t="s">
        <v>181</v>
      </c>
      <c r="O3" s="176"/>
      <c r="P3" s="176"/>
      <c r="Q3" s="127"/>
      <c r="R3" s="130"/>
    </row>
    <row r="4" spans="1:18" ht="22.5" customHeight="1">
      <c r="A4" s="147"/>
      <c r="B4" s="149"/>
      <c r="C4" s="150"/>
      <c r="D4" s="151"/>
      <c r="E4" s="156" t="s">
        <v>155</v>
      </c>
      <c r="F4" s="160" t="s">
        <v>116</v>
      </c>
      <c r="G4" s="162" t="s">
        <v>176</v>
      </c>
      <c r="H4" s="164" t="s">
        <v>177</v>
      </c>
      <c r="I4" s="166" t="s">
        <v>178</v>
      </c>
      <c r="J4" s="172" t="s">
        <v>179</v>
      </c>
      <c r="K4" s="125" t="s">
        <v>174</v>
      </c>
      <c r="L4" s="132" t="s">
        <v>173</v>
      </c>
      <c r="M4" s="155"/>
      <c r="N4" s="174" t="s">
        <v>185</v>
      </c>
      <c r="O4" s="166" t="s">
        <v>136</v>
      </c>
      <c r="P4" s="176" t="s">
        <v>135</v>
      </c>
      <c r="Q4" s="133" t="s">
        <v>174</v>
      </c>
      <c r="R4" s="134" t="s">
        <v>173</v>
      </c>
    </row>
    <row r="5" spans="1:18" ht="82.5" customHeight="1">
      <c r="A5" s="148"/>
      <c r="B5" s="149"/>
      <c r="C5" s="150"/>
      <c r="D5" s="151"/>
      <c r="E5" s="157"/>
      <c r="F5" s="161"/>
      <c r="G5" s="163"/>
      <c r="H5" s="165"/>
      <c r="I5" s="167"/>
      <c r="J5" s="173"/>
      <c r="K5" s="158" t="s">
        <v>180</v>
      </c>
      <c r="L5" s="159"/>
      <c r="M5" s="155"/>
      <c r="N5" s="175"/>
      <c r="O5" s="167"/>
      <c r="P5" s="176"/>
      <c r="Q5" s="158" t="s">
        <v>183</v>
      </c>
      <c r="R5" s="15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170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D10+D19+D32+D55+D67+D29+D54</f>
        <v>223265.1</v>
      </c>
      <c r="E8" s="22">
        <f>E10+E19+E32+E55+E67+E54</f>
        <v>34205</v>
      </c>
      <c r="F8" s="22">
        <f>F10+F19+F32+F55+F67+F29+F54</f>
        <v>18247.3</v>
      </c>
      <c r="G8" s="22">
        <f aca="true" t="shared" si="0" ref="G8:G29">F8-E8</f>
        <v>-15957.7</v>
      </c>
      <c r="H8" s="51">
        <f>F8/E8*100</f>
        <v>53.346879111241044</v>
      </c>
      <c r="I8" s="36">
        <f aca="true" t="shared" si="1" ref="I8:I17">F8-D8</f>
        <v>-205017.80000000002</v>
      </c>
      <c r="J8" s="36">
        <f aca="true" t="shared" si="2" ref="J8:J14">F8/D8*100</f>
        <v>8.172929848865765</v>
      </c>
      <c r="K8" s="36">
        <f>F8-33601.5</f>
        <v>-15354.2</v>
      </c>
      <c r="L8" s="36">
        <f>F8/33601.5*100</f>
        <v>54.305016145112575</v>
      </c>
      <c r="M8" s="22">
        <f>M10+M19+M32+M55+M67+M29+M54</f>
        <v>34205</v>
      </c>
      <c r="N8" s="22">
        <f>N10+N19+N32+N54+N55+N67+N29</f>
        <v>18247.3</v>
      </c>
      <c r="O8" s="36">
        <f aca="true" t="shared" si="3" ref="O8:O53">N8-M8</f>
        <v>-15957.7</v>
      </c>
      <c r="P8" s="36">
        <f>F8/M8*100</f>
        <v>53.346879111241044</v>
      </c>
      <c r="Q8" s="36">
        <f>N8-33601.5</f>
        <v>-15354.2</v>
      </c>
      <c r="R8" s="136">
        <f>N8/33601.5</f>
        <v>0.5430501614511257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180220</v>
      </c>
      <c r="E9" s="20"/>
      <c r="F9" s="16">
        <f>F10+F17</f>
        <v>16289.44</v>
      </c>
      <c r="G9" s="22">
        <f t="shared" si="0"/>
        <v>16289.44</v>
      </c>
      <c r="H9" s="20"/>
      <c r="I9" s="56">
        <f t="shared" si="1"/>
        <v>-163930.56</v>
      </c>
      <c r="J9" s="56">
        <f t="shared" si="2"/>
        <v>9.038641660193097</v>
      </c>
      <c r="K9" s="56"/>
      <c r="L9" s="56"/>
      <c r="M9" s="20">
        <f>M10+M17</f>
        <v>27150</v>
      </c>
      <c r="N9" s="20">
        <f>N10+N17</f>
        <v>16289.44</v>
      </c>
      <c r="O9" s="36">
        <f t="shared" si="3"/>
        <v>-10860.56</v>
      </c>
      <c r="P9" s="56">
        <f>F9/M9*100</f>
        <v>59.99793738489871</v>
      </c>
      <c r="Q9" s="56"/>
      <c r="R9" s="137"/>
    </row>
    <row r="10" spans="1:18" s="6" customFormat="1" ht="15.75">
      <c r="A10" s="8"/>
      <c r="B10" s="15" t="s">
        <v>147</v>
      </c>
      <c r="C10" s="66">
        <v>11010000</v>
      </c>
      <c r="D10" s="41">
        <v>180220</v>
      </c>
      <c r="E10" s="41">
        <v>27150</v>
      </c>
      <c r="F10" s="40">
        <v>16289.44</v>
      </c>
      <c r="G10" s="49">
        <f t="shared" si="0"/>
        <v>-10860.56</v>
      </c>
      <c r="H10" s="40">
        <f aca="true" t="shared" si="4" ref="H10:H17">F10/E10*100</f>
        <v>59.99793738489871</v>
      </c>
      <c r="I10" s="56">
        <f t="shared" si="1"/>
        <v>-163930.56</v>
      </c>
      <c r="J10" s="56">
        <f t="shared" si="2"/>
        <v>9.038641660193097</v>
      </c>
      <c r="K10" s="56">
        <f>F10-26732.4</f>
        <v>-10442.960000000001</v>
      </c>
      <c r="L10" s="56">
        <f>F10/26732.4*100</f>
        <v>60.93519474495369</v>
      </c>
      <c r="M10" s="40">
        <f>E10</f>
        <v>27150</v>
      </c>
      <c r="N10" s="40">
        <f>F10</f>
        <v>16289.44</v>
      </c>
      <c r="O10" s="53">
        <f t="shared" si="3"/>
        <v>-10860.56</v>
      </c>
      <c r="P10" s="56">
        <f aca="true" t="shared" si="5" ref="P10:P17">N10/M10*100</f>
        <v>59.99793738489871</v>
      </c>
      <c r="Q10" s="143">
        <f>N10-26732.4</f>
        <v>-10442.960000000001</v>
      </c>
      <c r="R10" s="144">
        <f>N10/26732.4</f>
        <v>0.6093519474495369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7">E11</f>
        <v>0</v>
      </c>
      <c r="N11" s="40">
        <f aca="true" t="shared" si="7" ref="N11:N67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145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160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</v>
      </c>
      <c r="E19" s="41">
        <v>100</v>
      </c>
      <c r="F19" s="40">
        <v>3.88</v>
      </c>
      <c r="G19" s="49">
        <f t="shared" si="0"/>
        <v>-96.12</v>
      </c>
      <c r="H19" s="40">
        <f aca="true" t="shared" si="8" ref="H19:H28">F19/E19*100</f>
        <v>3.88</v>
      </c>
      <c r="I19" s="56">
        <f aca="true" t="shared" si="9" ref="I19:I28">F19-D19</f>
        <v>-596.12</v>
      </c>
      <c r="J19" s="56">
        <f aca="true" t="shared" si="10" ref="J19:J28">F19/D19*100</f>
        <v>0.6466666666666666</v>
      </c>
      <c r="K19" s="56">
        <f>F19-194.7</f>
        <v>-190.82</v>
      </c>
      <c r="L19" s="56">
        <f>F19/194.7*100</f>
        <v>1.9928094504365692</v>
      </c>
      <c r="M19" s="40">
        <f t="shared" si="6"/>
        <v>100</v>
      </c>
      <c r="N19" s="40">
        <f t="shared" si="7"/>
        <v>3.88</v>
      </c>
      <c r="O19" s="53">
        <f t="shared" si="3"/>
        <v>-96.12</v>
      </c>
      <c r="P19" s="56">
        <f aca="true" t="shared" si="11" ref="P19:P28">N19/M19*100</f>
        <v>3.88</v>
      </c>
      <c r="Q19" s="56">
        <f>N19-194.7</f>
        <v>-190.82</v>
      </c>
      <c r="R19" s="137">
        <f>N19/194.7</f>
        <v>0.019928094504365692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/>
      <c r="L20" s="56">
        <f aca="true" t="shared" si="12" ref="L20:L66">F20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/>
      <c r="L21" s="56">
        <f t="shared" si="12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/>
      <c r="L22" s="56">
        <f t="shared" si="12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/>
      <c r="L23" s="56">
        <f t="shared" si="12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/>
      <c r="L24" s="56">
        <f t="shared" si="12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/>
      <c r="L25" s="56">
        <f t="shared" si="12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/>
      <c r="L26" s="56">
        <f t="shared" si="12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/>
      <c r="L27" s="56">
        <f t="shared" si="12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/>
      <c r="L28" s="56">
        <f t="shared" si="12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15" t="s">
        <v>29</v>
      </c>
      <c r="C29" s="66">
        <v>13030200</v>
      </c>
      <c r="D29" s="41">
        <v>0</v>
      </c>
      <c r="E29" s="41">
        <v>0</v>
      </c>
      <c r="F29" s="40">
        <v>0</v>
      </c>
      <c r="G29" s="49">
        <f t="shared" si="0"/>
        <v>0</v>
      </c>
      <c r="H29" s="40"/>
      <c r="I29" s="56"/>
      <c r="J29" s="56"/>
      <c r="K29" s="56">
        <f>F29-0</f>
        <v>0</v>
      </c>
      <c r="L29" s="56"/>
      <c r="M29" s="40">
        <f t="shared" si="6"/>
        <v>0</v>
      </c>
      <c r="N29" s="40">
        <f t="shared" si="7"/>
        <v>0</v>
      </c>
      <c r="O29" s="53">
        <f t="shared" si="3"/>
        <v>0</v>
      </c>
      <c r="P29" s="56"/>
      <c r="Q29" s="56"/>
      <c r="R29" s="137"/>
    </row>
    <row r="30" spans="1:18" s="6" customFormat="1" ht="47.25" hidden="1">
      <c r="A30" s="8"/>
      <c r="B30" s="14" t="s">
        <v>30</v>
      </c>
      <c r="C30" s="66">
        <v>13030500</v>
      </c>
      <c r="D30" s="41">
        <v>0</v>
      </c>
      <c r="E30" s="41">
        <v>0</v>
      </c>
      <c r="F30" s="40">
        <v>0</v>
      </c>
      <c r="G30" s="49"/>
      <c r="H30" s="40" t="e">
        <f>F30/E30*100</f>
        <v>#DIV/0!</v>
      </c>
      <c r="I30" s="56">
        <f>F30-D30</f>
        <v>0</v>
      </c>
      <c r="J30" s="56" t="e">
        <f>F30/D30*100</f>
        <v>#DIV/0!</v>
      </c>
      <c r="K30" s="56"/>
      <c r="L30" s="56">
        <f t="shared" si="12"/>
        <v>0</v>
      </c>
      <c r="M30" s="40">
        <f t="shared" si="6"/>
        <v>0</v>
      </c>
      <c r="N30" s="40">
        <f t="shared" si="7"/>
        <v>0</v>
      </c>
      <c r="O30" s="53">
        <f t="shared" si="3"/>
        <v>0</v>
      </c>
      <c r="P30" s="56" t="e">
        <f>N30/M30*100</f>
        <v>#DIV/0!</v>
      </c>
      <c r="Q30" s="56"/>
      <c r="R30" s="137"/>
    </row>
    <row r="31" spans="1:18" s="6" customFormat="1" ht="31.5" hidden="1">
      <c r="A31" s="8"/>
      <c r="B31" s="14" t="s">
        <v>31</v>
      </c>
      <c r="C31" s="66">
        <v>13030600</v>
      </c>
      <c r="D31" s="41">
        <v>0</v>
      </c>
      <c r="E31" s="41">
        <v>0</v>
      </c>
      <c r="F31" s="40">
        <v>0</v>
      </c>
      <c r="G31" s="49"/>
      <c r="H31" s="40"/>
      <c r="I31" s="56"/>
      <c r="J31" s="56"/>
      <c r="K31" s="56"/>
      <c r="L31" s="56">
        <f t="shared" si="12"/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/>
      <c r="Q31" s="56"/>
      <c r="R31" s="137"/>
    </row>
    <row r="32" spans="1:18" s="6" customFormat="1" ht="15.75">
      <c r="A32" s="8"/>
      <c r="B32" s="15" t="s">
        <v>32</v>
      </c>
      <c r="C32" s="66">
        <v>13050000</v>
      </c>
      <c r="D32" s="41">
        <v>38945</v>
      </c>
      <c r="E32" s="41">
        <v>6400</v>
      </c>
      <c r="F32" s="40">
        <v>1445.93</v>
      </c>
      <c r="G32" s="49">
        <f aca="true" t="shared" si="13" ref="G32:G53">F32-E32</f>
        <v>-4954.07</v>
      </c>
      <c r="H32" s="40">
        <f aca="true" t="shared" si="14" ref="H32:H53">F32/E32*100</f>
        <v>22.59265625</v>
      </c>
      <c r="I32" s="56">
        <f>F32-D32</f>
        <v>-37499.07</v>
      </c>
      <c r="J32" s="56">
        <f aca="true" t="shared" si="15" ref="J32:J53">F32/D32*100</f>
        <v>3.7127487482346897</v>
      </c>
      <c r="K32" s="56">
        <f>F32-6172.8</f>
        <v>-4726.87</v>
      </c>
      <c r="L32" s="56">
        <f>F32/6172.8*100</f>
        <v>23.424215914981854</v>
      </c>
      <c r="M32" s="40">
        <f t="shared" si="6"/>
        <v>6400</v>
      </c>
      <c r="N32" s="40">
        <f t="shared" si="7"/>
        <v>1445.93</v>
      </c>
      <c r="O32" s="53">
        <f t="shared" si="3"/>
        <v>-4954.07</v>
      </c>
      <c r="P32" s="56">
        <f aca="true" t="shared" si="16" ref="P32:P53">N32/M32*100</f>
        <v>22.59265625</v>
      </c>
      <c r="Q32" s="143">
        <f>N32-6172.8</f>
        <v>-4726.87</v>
      </c>
      <c r="R32" s="144">
        <f>N32/6172.8</f>
        <v>0.23424215914981855</v>
      </c>
    </row>
    <row r="33" spans="1:18" s="6" customFormat="1" ht="15.75" hidden="1">
      <c r="A33" s="8"/>
      <c r="B33" s="14" t="s">
        <v>33</v>
      </c>
      <c r="C33" s="65">
        <v>13050100</v>
      </c>
      <c r="D33" s="41">
        <v>0</v>
      </c>
      <c r="E33" s="41">
        <v>0</v>
      </c>
      <c r="F33" s="40">
        <v>0</v>
      </c>
      <c r="G33" s="49">
        <f t="shared" si="13"/>
        <v>0</v>
      </c>
      <c r="H33" s="40" t="e">
        <f t="shared" si="14"/>
        <v>#DIV/0!</v>
      </c>
      <c r="I33" s="56">
        <f aca="true" t="shared" si="17" ref="I33:I53">F33-D33</f>
        <v>0</v>
      </c>
      <c r="J33" s="56" t="e">
        <f t="shared" si="15"/>
        <v>#DIV/0!</v>
      </c>
      <c r="K33" s="56"/>
      <c r="L33" s="56">
        <f t="shared" si="12"/>
        <v>0</v>
      </c>
      <c r="M33" s="40">
        <f t="shared" si="6"/>
        <v>0</v>
      </c>
      <c r="N33" s="40">
        <f t="shared" si="7"/>
        <v>0</v>
      </c>
      <c r="O33" s="53">
        <f t="shared" si="3"/>
        <v>0</v>
      </c>
      <c r="P33" s="56" t="e">
        <f t="shared" si="16"/>
        <v>#DIV/0!</v>
      </c>
      <c r="Q33" s="56"/>
      <c r="R33" s="137"/>
    </row>
    <row r="34" spans="1:18" s="6" customFormat="1" ht="15.75" hidden="1">
      <c r="A34" s="8"/>
      <c r="B34" s="14" t="s">
        <v>34</v>
      </c>
      <c r="C34" s="65">
        <v>13050200</v>
      </c>
      <c r="D34" s="41">
        <v>0</v>
      </c>
      <c r="E34" s="41">
        <v>0</v>
      </c>
      <c r="F34" s="40">
        <v>0</v>
      </c>
      <c r="G34" s="49">
        <f t="shared" si="13"/>
        <v>0</v>
      </c>
      <c r="H34" s="40" t="e">
        <f t="shared" si="14"/>
        <v>#DIV/0!</v>
      </c>
      <c r="I34" s="56">
        <f t="shared" si="17"/>
        <v>0</v>
      </c>
      <c r="J34" s="56" t="e">
        <f t="shared" si="15"/>
        <v>#DIV/0!</v>
      </c>
      <c r="K34" s="56"/>
      <c r="L34" s="56">
        <f t="shared" si="12"/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6"/>
        <v>#DIV/0!</v>
      </c>
      <c r="Q34" s="56"/>
      <c r="R34" s="137"/>
    </row>
    <row r="35" spans="1:18" s="6" customFormat="1" ht="15.75" hidden="1">
      <c r="A35" s="8"/>
      <c r="B35" s="14" t="s">
        <v>35</v>
      </c>
      <c r="C35" s="65">
        <v>13050300</v>
      </c>
      <c r="D35" s="41">
        <v>0</v>
      </c>
      <c r="E35" s="41">
        <v>0</v>
      </c>
      <c r="F35" s="40">
        <v>0</v>
      </c>
      <c r="G35" s="49">
        <f t="shared" si="13"/>
        <v>0</v>
      </c>
      <c r="H35" s="40" t="e">
        <f t="shared" si="14"/>
        <v>#DIV/0!</v>
      </c>
      <c r="I35" s="56">
        <f t="shared" si="17"/>
        <v>0</v>
      </c>
      <c r="J35" s="56" t="e">
        <f t="shared" si="15"/>
        <v>#DIV/0!</v>
      </c>
      <c r="K35" s="56"/>
      <c r="L35" s="56">
        <f t="shared" si="1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6"/>
        <v>#DIV/0!</v>
      </c>
      <c r="Q35" s="56"/>
      <c r="R35" s="137"/>
    </row>
    <row r="36" spans="1:18" s="6" customFormat="1" ht="31.5" hidden="1">
      <c r="A36" s="8"/>
      <c r="B36" s="14" t="s">
        <v>36</v>
      </c>
      <c r="C36" s="65">
        <v>13050400</v>
      </c>
      <c r="D36" s="41">
        <v>0</v>
      </c>
      <c r="E36" s="41">
        <v>0</v>
      </c>
      <c r="F36" s="40">
        <v>0</v>
      </c>
      <c r="G36" s="49">
        <f t="shared" si="13"/>
        <v>0</v>
      </c>
      <c r="H36" s="40" t="e">
        <f t="shared" si="14"/>
        <v>#DIV/0!</v>
      </c>
      <c r="I36" s="56">
        <f t="shared" si="17"/>
        <v>0</v>
      </c>
      <c r="J36" s="56" t="e">
        <f t="shared" si="15"/>
        <v>#DIV/0!</v>
      </c>
      <c r="K36" s="56"/>
      <c r="L36" s="56">
        <f t="shared" si="1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6"/>
        <v>#DIV/0!</v>
      </c>
      <c r="Q36" s="56"/>
      <c r="R36" s="137"/>
    </row>
    <row r="37" spans="1:18" s="6" customFormat="1" ht="15.75" hidden="1">
      <c r="A37" s="8"/>
      <c r="B37" s="14" t="s">
        <v>37</v>
      </c>
      <c r="C37" s="65">
        <v>13050500</v>
      </c>
      <c r="D37" s="41">
        <v>0</v>
      </c>
      <c r="E37" s="41">
        <v>0</v>
      </c>
      <c r="F37" s="40">
        <v>0</v>
      </c>
      <c r="G37" s="49">
        <f t="shared" si="13"/>
        <v>0</v>
      </c>
      <c r="H37" s="40" t="e">
        <f t="shared" si="14"/>
        <v>#DIV/0!</v>
      </c>
      <c r="I37" s="56">
        <f t="shared" si="17"/>
        <v>0</v>
      </c>
      <c r="J37" s="56" t="e">
        <f t="shared" si="15"/>
        <v>#DIV/0!</v>
      </c>
      <c r="K37" s="56"/>
      <c r="L37" s="56">
        <f t="shared" si="1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6"/>
        <v>#DIV/0!</v>
      </c>
      <c r="Q37" s="56"/>
      <c r="R37" s="137"/>
    </row>
    <row r="38" spans="1:18" s="6" customFormat="1" ht="31.5" hidden="1">
      <c r="A38" s="8"/>
      <c r="B38" s="14" t="s">
        <v>38</v>
      </c>
      <c r="C38" s="65">
        <v>13050600</v>
      </c>
      <c r="D38" s="41">
        <v>0</v>
      </c>
      <c r="E38" s="41">
        <v>0</v>
      </c>
      <c r="F38" s="40">
        <v>0</v>
      </c>
      <c r="G38" s="49">
        <f t="shared" si="13"/>
        <v>0</v>
      </c>
      <c r="H38" s="40" t="e">
        <f t="shared" si="14"/>
        <v>#DIV/0!</v>
      </c>
      <c r="I38" s="56">
        <f t="shared" si="17"/>
        <v>0</v>
      </c>
      <c r="J38" s="56" t="e">
        <f t="shared" si="15"/>
        <v>#DIV/0!</v>
      </c>
      <c r="K38" s="56"/>
      <c r="L38" s="56">
        <f t="shared" si="1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6"/>
        <v>#DIV/0!</v>
      </c>
      <c r="Q38" s="56"/>
      <c r="R38" s="137"/>
    </row>
    <row r="39" spans="1:18" s="6" customFormat="1" ht="15.75" hidden="1">
      <c r="A39" s="8"/>
      <c r="B39" s="11" t="s">
        <v>39</v>
      </c>
      <c r="C39" s="64">
        <v>14000000</v>
      </c>
      <c r="D39" s="41">
        <v>0</v>
      </c>
      <c r="E39" s="41">
        <v>0</v>
      </c>
      <c r="F39" s="40">
        <v>0</v>
      </c>
      <c r="G39" s="49">
        <f t="shared" si="13"/>
        <v>0</v>
      </c>
      <c r="H39" s="40" t="e">
        <f t="shared" si="14"/>
        <v>#DIV/0!</v>
      </c>
      <c r="I39" s="56">
        <f t="shared" si="17"/>
        <v>0</v>
      </c>
      <c r="J39" s="56" t="e">
        <f t="shared" si="15"/>
        <v>#DIV/0!</v>
      </c>
      <c r="K39" s="56"/>
      <c r="L39" s="56">
        <f t="shared" si="1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6"/>
        <v>#DIV/0!</v>
      </c>
      <c r="Q39" s="56"/>
      <c r="R39" s="137"/>
    </row>
    <row r="40" spans="1:18" s="6" customFormat="1" ht="15.75" hidden="1">
      <c r="A40" s="8"/>
      <c r="B40" s="12" t="s">
        <v>40</v>
      </c>
      <c r="C40" s="66">
        <v>14020000</v>
      </c>
      <c r="D40" s="41">
        <v>0</v>
      </c>
      <c r="E40" s="41">
        <v>0</v>
      </c>
      <c r="F40" s="40">
        <v>0</v>
      </c>
      <c r="G40" s="49">
        <f t="shared" si="13"/>
        <v>0</v>
      </c>
      <c r="H40" s="40" t="e">
        <f t="shared" si="14"/>
        <v>#DIV/0!</v>
      </c>
      <c r="I40" s="56">
        <f t="shared" si="17"/>
        <v>0</v>
      </c>
      <c r="J40" s="56" t="e">
        <f t="shared" si="15"/>
        <v>#DIV/0!</v>
      </c>
      <c r="K40" s="56"/>
      <c r="L40" s="56">
        <f t="shared" si="1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6"/>
        <v>#DIV/0!</v>
      </c>
      <c r="Q40" s="56"/>
      <c r="R40" s="137"/>
    </row>
    <row r="41" spans="1:18" s="6" customFormat="1" ht="15.75" hidden="1">
      <c r="A41" s="8"/>
      <c r="B41" s="14" t="s">
        <v>41</v>
      </c>
      <c r="C41" s="65">
        <v>14020100</v>
      </c>
      <c r="D41" s="41">
        <v>0</v>
      </c>
      <c r="E41" s="41">
        <v>0</v>
      </c>
      <c r="F41" s="40">
        <v>0</v>
      </c>
      <c r="G41" s="49">
        <f t="shared" si="13"/>
        <v>0</v>
      </c>
      <c r="H41" s="40" t="e">
        <f t="shared" si="14"/>
        <v>#DIV/0!</v>
      </c>
      <c r="I41" s="56">
        <f t="shared" si="17"/>
        <v>0</v>
      </c>
      <c r="J41" s="56" t="e">
        <f t="shared" si="15"/>
        <v>#DIV/0!</v>
      </c>
      <c r="K41" s="56"/>
      <c r="L41" s="56">
        <f t="shared" si="1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6"/>
        <v>#DIV/0!</v>
      </c>
      <c r="Q41" s="56"/>
      <c r="R41" s="137"/>
    </row>
    <row r="42" spans="1:18" s="6" customFormat="1" ht="15.75" hidden="1">
      <c r="A42" s="8"/>
      <c r="B42" s="14" t="s">
        <v>42</v>
      </c>
      <c r="C42" s="65">
        <v>14020200</v>
      </c>
      <c r="D42" s="41">
        <v>0</v>
      </c>
      <c r="E42" s="41">
        <v>0</v>
      </c>
      <c r="F42" s="40">
        <v>0</v>
      </c>
      <c r="G42" s="49">
        <f t="shared" si="13"/>
        <v>0</v>
      </c>
      <c r="H42" s="40" t="e">
        <f t="shared" si="14"/>
        <v>#DIV/0!</v>
      </c>
      <c r="I42" s="56">
        <f t="shared" si="17"/>
        <v>0</v>
      </c>
      <c r="J42" s="56" t="e">
        <f t="shared" si="15"/>
        <v>#DIV/0!</v>
      </c>
      <c r="K42" s="56"/>
      <c r="L42" s="56">
        <f t="shared" si="1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6"/>
        <v>#DIV/0!</v>
      </c>
      <c r="Q42" s="56"/>
      <c r="R42" s="137"/>
    </row>
    <row r="43" spans="1:18" s="6" customFormat="1" ht="15.75" hidden="1">
      <c r="A43" s="8"/>
      <c r="B43" s="14" t="s">
        <v>43</v>
      </c>
      <c r="C43" s="65">
        <v>14020300</v>
      </c>
      <c r="D43" s="41">
        <v>0</v>
      </c>
      <c r="E43" s="41">
        <v>0</v>
      </c>
      <c r="F43" s="40">
        <v>0</v>
      </c>
      <c r="G43" s="49">
        <f t="shared" si="13"/>
        <v>0</v>
      </c>
      <c r="H43" s="40" t="e">
        <f t="shared" si="14"/>
        <v>#DIV/0!</v>
      </c>
      <c r="I43" s="56">
        <f t="shared" si="17"/>
        <v>0</v>
      </c>
      <c r="J43" s="56" t="e">
        <f t="shared" si="15"/>
        <v>#DIV/0!</v>
      </c>
      <c r="K43" s="56"/>
      <c r="L43" s="56">
        <f t="shared" si="1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6"/>
        <v>#DIV/0!</v>
      </c>
      <c r="Q43" s="56"/>
      <c r="R43" s="137"/>
    </row>
    <row r="44" spans="1:18" s="6" customFormat="1" ht="15.75" hidden="1">
      <c r="A44" s="8"/>
      <c r="B44" s="14" t="s">
        <v>44</v>
      </c>
      <c r="C44" s="65">
        <v>14020400</v>
      </c>
      <c r="D44" s="41">
        <v>0</v>
      </c>
      <c r="E44" s="41">
        <v>0</v>
      </c>
      <c r="F44" s="40">
        <v>0</v>
      </c>
      <c r="G44" s="49">
        <f t="shared" si="13"/>
        <v>0</v>
      </c>
      <c r="H44" s="40" t="e">
        <f t="shared" si="14"/>
        <v>#DIV/0!</v>
      </c>
      <c r="I44" s="56">
        <f t="shared" si="17"/>
        <v>0</v>
      </c>
      <c r="J44" s="56" t="e">
        <f t="shared" si="15"/>
        <v>#DIV/0!</v>
      </c>
      <c r="K44" s="56"/>
      <c r="L44" s="56">
        <f t="shared" si="1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6"/>
        <v>#DIV/0!</v>
      </c>
      <c r="Q44" s="56"/>
      <c r="R44" s="137"/>
    </row>
    <row r="45" spans="1:18" s="6" customFormat="1" ht="15.75" hidden="1">
      <c r="A45" s="8"/>
      <c r="B45" s="14" t="s">
        <v>45</v>
      </c>
      <c r="C45" s="65">
        <v>14020700</v>
      </c>
      <c r="D45" s="41">
        <v>0</v>
      </c>
      <c r="E45" s="41">
        <v>0</v>
      </c>
      <c r="F45" s="40">
        <v>0</v>
      </c>
      <c r="G45" s="49">
        <f t="shared" si="13"/>
        <v>0</v>
      </c>
      <c r="H45" s="40" t="e">
        <f t="shared" si="14"/>
        <v>#DIV/0!</v>
      </c>
      <c r="I45" s="56">
        <f t="shared" si="17"/>
        <v>0</v>
      </c>
      <c r="J45" s="56" t="e">
        <f t="shared" si="15"/>
        <v>#DIV/0!</v>
      </c>
      <c r="K45" s="56"/>
      <c r="L45" s="56">
        <f t="shared" si="1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6"/>
        <v>#DIV/0!</v>
      </c>
      <c r="Q45" s="56"/>
      <c r="R45" s="137"/>
    </row>
    <row r="46" spans="1:18" s="6" customFormat="1" ht="15.75" hidden="1">
      <c r="A46" s="8"/>
      <c r="B46" s="14" t="s">
        <v>46</v>
      </c>
      <c r="C46" s="65" t="s">
        <v>47</v>
      </c>
      <c r="D46" s="41">
        <v>0</v>
      </c>
      <c r="E46" s="41">
        <v>0</v>
      </c>
      <c r="F46" s="40">
        <v>0</v>
      </c>
      <c r="G46" s="49">
        <f t="shared" si="13"/>
        <v>0</v>
      </c>
      <c r="H46" s="40" t="e">
        <f t="shared" si="14"/>
        <v>#DIV/0!</v>
      </c>
      <c r="I46" s="56">
        <f t="shared" si="17"/>
        <v>0</v>
      </c>
      <c r="J46" s="56" t="e">
        <f t="shared" si="15"/>
        <v>#DIV/0!</v>
      </c>
      <c r="K46" s="56"/>
      <c r="L46" s="56">
        <f t="shared" si="1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6"/>
        <v>#DIV/0!</v>
      </c>
      <c r="Q46" s="56"/>
      <c r="R46" s="137"/>
    </row>
    <row r="47" spans="1:18" s="6" customFormat="1" ht="15.75" hidden="1">
      <c r="A47" s="8"/>
      <c r="B47" s="14" t="s">
        <v>48</v>
      </c>
      <c r="C47" s="65" t="s">
        <v>49</v>
      </c>
      <c r="D47" s="41">
        <v>0</v>
      </c>
      <c r="E47" s="41">
        <v>0</v>
      </c>
      <c r="F47" s="40">
        <v>0</v>
      </c>
      <c r="G47" s="49">
        <f t="shared" si="13"/>
        <v>0</v>
      </c>
      <c r="H47" s="40" t="e">
        <f t="shared" si="14"/>
        <v>#DIV/0!</v>
      </c>
      <c r="I47" s="56">
        <f t="shared" si="17"/>
        <v>0</v>
      </c>
      <c r="J47" s="56" t="e">
        <f t="shared" si="15"/>
        <v>#DIV/0!</v>
      </c>
      <c r="K47" s="56"/>
      <c r="L47" s="56">
        <f t="shared" si="1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6"/>
        <v>#DIV/0!</v>
      </c>
      <c r="Q47" s="56"/>
      <c r="R47" s="137"/>
    </row>
    <row r="48" spans="1:18" s="6" customFormat="1" ht="47.25" hidden="1">
      <c r="A48" s="8"/>
      <c r="B48" s="14" t="s">
        <v>50</v>
      </c>
      <c r="C48" s="65">
        <v>14022100</v>
      </c>
      <c r="D48" s="41">
        <v>0</v>
      </c>
      <c r="E48" s="41">
        <v>0</v>
      </c>
      <c r="F48" s="40">
        <v>0</v>
      </c>
      <c r="G48" s="49">
        <f t="shared" si="13"/>
        <v>0</v>
      </c>
      <c r="H48" s="40" t="e">
        <f t="shared" si="14"/>
        <v>#DIV/0!</v>
      </c>
      <c r="I48" s="56">
        <f t="shared" si="17"/>
        <v>0</v>
      </c>
      <c r="J48" s="56" t="e">
        <f t="shared" si="15"/>
        <v>#DIV/0!</v>
      </c>
      <c r="K48" s="56"/>
      <c r="L48" s="56">
        <f t="shared" si="1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6"/>
        <v>#DIV/0!</v>
      </c>
      <c r="Q48" s="56"/>
      <c r="R48" s="137"/>
    </row>
    <row r="49" spans="1:18" s="6" customFormat="1" ht="31.5" hidden="1">
      <c r="A49" s="8"/>
      <c r="B49" s="12" t="s">
        <v>51</v>
      </c>
      <c r="C49" s="66">
        <v>14060000</v>
      </c>
      <c r="D49" s="41">
        <v>0</v>
      </c>
      <c r="E49" s="41">
        <v>0</v>
      </c>
      <c r="F49" s="40">
        <v>0</v>
      </c>
      <c r="G49" s="49">
        <f t="shared" si="13"/>
        <v>0</v>
      </c>
      <c r="H49" s="40" t="e">
        <f t="shared" si="14"/>
        <v>#DIV/0!</v>
      </c>
      <c r="I49" s="56">
        <f t="shared" si="17"/>
        <v>0</v>
      </c>
      <c r="J49" s="56" t="e">
        <f t="shared" si="15"/>
        <v>#DIV/0!</v>
      </c>
      <c r="K49" s="56"/>
      <c r="L49" s="56">
        <f t="shared" si="1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6"/>
        <v>#DIV/0!</v>
      </c>
      <c r="Q49" s="56"/>
      <c r="R49" s="137"/>
    </row>
    <row r="50" spans="1:18" s="6" customFormat="1" ht="15.75" hidden="1">
      <c r="A50" s="8"/>
      <c r="B50" s="12" t="s">
        <v>120</v>
      </c>
      <c r="C50" s="66"/>
      <c r="D50" s="41">
        <v>0</v>
      </c>
      <c r="E50" s="41">
        <v>0</v>
      </c>
      <c r="F50" s="40">
        <v>0</v>
      </c>
      <c r="G50" s="49">
        <f t="shared" si="13"/>
        <v>0</v>
      </c>
      <c r="H50" s="40" t="e">
        <f t="shared" si="14"/>
        <v>#DIV/0!</v>
      </c>
      <c r="I50" s="56">
        <f t="shared" si="17"/>
        <v>0</v>
      </c>
      <c r="J50" s="56" t="e">
        <f t="shared" si="15"/>
        <v>#DIV/0!</v>
      </c>
      <c r="K50" s="56"/>
      <c r="L50" s="56">
        <f t="shared" si="1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6"/>
        <v>#DIV/0!</v>
      </c>
      <c r="Q50" s="56"/>
      <c r="R50" s="137"/>
    </row>
    <row r="51" spans="1:18" s="6" customFormat="1" ht="15.75" hidden="1">
      <c r="A51" s="8"/>
      <c r="B51" s="15" t="s">
        <v>52</v>
      </c>
      <c r="C51" s="65">
        <v>14060100</v>
      </c>
      <c r="D51" s="41">
        <v>0</v>
      </c>
      <c r="E51" s="41">
        <v>0</v>
      </c>
      <c r="F51" s="40">
        <v>0</v>
      </c>
      <c r="G51" s="49">
        <f t="shared" si="13"/>
        <v>0</v>
      </c>
      <c r="H51" s="40" t="e">
        <f t="shared" si="14"/>
        <v>#DIV/0!</v>
      </c>
      <c r="I51" s="56">
        <f t="shared" si="17"/>
        <v>0</v>
      </c>
      <c r="J51" s="56" t="e">
        <f t="shared" si="15"/>
        <v>#DIV/0!</v>
      </c>
      <c r="K51" s="56"/>
      <c r="L51" s="56">
        <f t="shared" si="1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6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3"/>
        <v>0</v>
      </c>
      <c r="H52" s="40" t="e">
        <f t="shared" si="14"/>
        <v>#DIV/0!</v>
      </c>
      <c r="I52" s="56">
        <f t="shared" si="17"/>
        <v>0</v>
      </c>
      <c r="J52" s="56" t="e">
        <f t="shared" si="15"/>
        <v>#DIV/0!</v>
      </c>
      <c r="K52" s="56"/>
      <c r="L52" s="56">
        <f t="shared" si="1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6"/>
        <v>#DIV/0!</v>
      </c>
      <c r="Q52" s="56"/>
      <c r="R52" s="137"/>
    </row>
    <row r="53" spans="1:18" s="6" customFormat="1" ht="15.75" hidden="1">
      <c r="A53" s="8"/>
      <c r="B53" s="44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3"/>
        <v>0</v>
      </c>
      <c r="H53" s="40" t="e">
        <f t="shared" si="14"/>
        <v>#DIV/0!</v>
      </c>
      <c r="I53" s="56">
        <f t="shared" si="17"/>
        <v>0</v>
      </c>
      <c r="J53" s="56" t="e">
        <f t="shared" si="15"/>
        <v>#DIV/0!</v>
      </c>
      <c r="K53" s="56"/>
      <c r="L53" s="56">
        <f t="shared" si="1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6"/>
        <v>#DIV/0!</v>
      </c>
      <c r="Q53" s="56"/>
      <c r="R53" s="137"/>
    </row>
    <row r="54" spans="1:18" s="6" customFormat="1" ht="31.5">
      <c r="A54" s="8"/>
      <c r="B54" s="15" t="s">
        <v>140</v>
      </c>
      <c r="C54" s="64">
        <v>16010000</v>
      </c>
      <c r="D54" s="41">
        <v>0</v>
      </c>
      <c r="E54" s="41">
        <v>0</v>
      </c>
      <c r="F54" s="40">
        <v>0</v>
      </c>
      <c r="G54" s="49"/>
      <c r="H54" s="40"/>
      <c r="I54" s="56"/>
      <c r="J54" s="56"/>
      <c r="K54" s="56"/>
      <c r="L54" s="56"/>
      <c r="M54" s="40">
        <f t="shared" si="6"/>
        <v>0</v>
      </c>
      <c r="N54" s="40">
        <f t="shared" si="7"/>
        <v>0</v>
      </c>
      <c r="O54" s="53"/>
      <c r="P54" s="56"/>
      <c r="Q54" s="56"/>
      <c r="R54" s="137"/>
    </row>
    <row r="55" spans="1:18" s="6" customFormat="1" ht="15.75" customHeight="1">
      <c r="A55" s="8"/>
      <c r="B55" s="15" t="s">
        <v>53</v>
      </c>
      <c r="C55" s="66">
        <v>18000000</v>
      </c>
      <c r="D55" s="41">
        <v>3500</v>
      </c>
      <c r="E55" s="41">
        <v>555</v>
      </c>
      <c r="F55" s="40">
        <v>508.05</v>
      </c>
      <c r="G55" s="49">
        <f aca="true" t="shared" si="18" ref="G55:G71">F55-E55</f>
        <v>-46.94999999999999</v>
      </c>
      <c r="H55" s="40">
        <f aca="true" t="shared" si="19" ref="H55:H66">F55/E55*100</f>
        <v>91.54054054054053</v>
      </c>
      <c r="I55" s="56">
        <f aca="true" t="shared" si="20" ref="I55:I71">F55-D55</f>
        <v>-2991.95</v>
      </c>
      <c r="J55" s="56">
        <f aca="true" t="shared" si="21" ref="J55:J71">F55/D55*100</f>
        <v>14.515714285714287</v>
      </c>
      <c r="K55" s="56">
        <f>F55-501.4</f>
        <v>6.650000000000034</v>
      </c>
      <c r="L55" s="56">
        <f>F55/501.4*100</f>
        <v>101.32628639808536</v>
      </c>
      <c r="M55" s="40">
        <f t="shared" si="6"/>
        <v>555</v>
      </c>
      <c r="N55" s="40">
        <f t="shared" si="7"/>
        <v>508.05</v>
      </c>
      <c r="O55" s="53">
        <f aca="true" t="shared" si="22" ref="O55:O71">N55-M55</f>
        <v>-46.94999999999999</v>
      </c>
      <c r="P55" s="56">
        <f aca="true" t="shared" si="23" ref="P55:P66">N55/M55*100</f>
        <v>91.54054054054053</v>
      </c>
      <c r="Q55" s="56">
        <f>N55-501.4</f>
        <v>6.650000000000034</v>
      </c>
      <c r="R55" s="137">
        <f>N55/501.4</f>
        <v>1.0132628639808536</v>
      </c>
    </row>
    <row r="56" spans="1:18" s="6" customFormat="1" ht="15.75" customHeight="1" hidden="1">
      <c r="A56" s="8"/>
      <c r="B56" s="15" t="s">
        <v>54</v>
      </c>
      <c r="C56" s="65">
        <v>16010100</v>
      </c>
      <c r="D56" s="41">
        <v>0</v>
      </c>
      <c r="E56" s="41">
        <v>0</v>
      </c>
      <c r="F56" s="40">
        <v>0</v>
      </c>
      <c r="G56" s="49">
        <f t="shared" si="18"/>
        <v>0</v>
      </c>
      <c r="H56" s="40" t="e">
        <f t="shared" si="19"/>
        <v>#DIV/0!</v>
      </c>
      <c r="I56" s="56">
        <f t="shared" si="20"/>
        <v>0</v>
      </c>
      <c r="J56" s="56" t="e">
        <f t="shared" si="21"/>
        <v>#DIV/0!</v>
      </c>
      <c r="K56" s="56"/>
      <c r="L56" s="56">
        <f t="shared" si="12"/>
        <v>0</v>
      </c>
      <c r="M56" s="40">
        <f t="shared" si="6"/>
        <v>0</v>
      </c>
      <c r="N56" s="40">
        <f t="shared" si="7"/>
        <v>0</v>
      </c>
      <c r="O56" s="53">
        <f t="shared" si="22"/>
        <v>0</v>
      </c>
      <c r="P56" s="56" t="e">
        <f t="shared" si="23"/>
        <v>#DIV/0!</v>
      </c>
      <c r="Q56" s="56"/>
      <c r="R56" s="137"/>
    </row>
    <row r="57" spans="1:18" s="6" customFormat="1" ht="15.75" customHeight="1" hidden="1">
      <c r="A57" s="8"/>
      <c r="B57" s="15" t="s">
        <v>55</v>
      </c>
      <c r="C57" s="65">
        <v>16010200</v>
      </c>
      <c r="D57" s="41">
        <v>0</v>
      </c>
      <c r="E57" s="41">
        <v>0</v>
      </c>
      <c r="F57" s="40">
        <v>0</v>
      </c>
      <c r="G57" s="49">
        <f t="shared" si="18"/>
        <v>0</v>
      </c>
      <c r="H57" s="40" t="e">
        <f t="shared" si="19"/>
        <v>#DIV/0!</v>
      </c>
      <c r="I57" s="56">
        <f t="shared" si="20"/>
        <v>0</v>
      </c>
      <c r="J57" s="56" t="e">
        <f t="shared" si="21"/>
        <v>#DIV/0!</v>
      </c>
      <c r="K57" s="56"/>
      <c r="L57" s="56">
        <f t="shared" si="12"/>
        <v>0</v>
      </c>
      <c r="M57" s="40">
        <f t="shared" si="6"/>
        <v>0</v>
      </c>
      <c r="N57" s="40">
        <f t="shared" si="7"/>
        <v>0</v>
      </c>
      <c r="O57" s="53">
        <f t="shared" si="22"/>
        <v>0</v>
      </c>
      <c r="P57" s="56" t="e">
        <f t="shared" si="23"/>
        <v>#DIV/0!</v>
      </c>
      <c r="Q57" s="56"/>
      <c r="R57" s="137"/>
    </row>
    <row r="58" spans="1:18" s="6" customFormat="1" ht="15.75" customHeight="1" hidden="1">
      <c r="A58" s="8"/>
      <c r="B58" s="15" t="s">
        <v>56</v>
      </c>
      <c r="C58" s="65">
        <v>16010300</v>
      </c>
      <c r="D58" s="41">
        <v>0</v>
      </c>
      <c r="E58" s="41">
        <v>0</v>
      </c>
      <c r="F58" s="40">
        <v>0</v>
      </c>
      <c r="G58" s="49">
        <f t="shared" si="18"/>
        <v>0</v>
      </c>
      <c r="H58" s="40" t="e">
        <f t="shared" si="19"/>
        <v>#DIV/0!</v>
      </c>
      <c r="I58" s="56">
        <f t="shared" si="20"/>
        <v>0</v>
      </c>
      <c r="J58" s="56" t="e">
        <f t="shared" si="21"/>
        <v>#DIV/0!</v>
      </c>
      <c r="K58" s="56"/>
      <c r="L58" s="56">
        <f t="shared" si="12"/>
        <v>0</v>
      </c>
      <c r="M58" s="40">
        <f t="shared" si="6"/>
        <v>0</v>
      </c>
      <c r="N58" s="40">
        <f t="shared" si="7"/>
        <v>0</v>
      </c>
      <c r="O58" s="53">
        <f t="shared" si="22"/>
        <v>0</v>
      </c>
      <c r="P58" s="56" t="e">
        <f t="shared" si="23"/>
        <v>#DIV/0!</v>
      </c>
      <c r="Q58" s="56"/>
      <c r="R58" s="137"/>
    </row>
    <row r="59" spans="1:18" s="6" customFormat="1" ht="15.75" customHeight="1" hidden="1">
      <c r="A59" s="8"/>
      <c r="B59" s="15" t="s">
        <v>57</v>
      </c>
      <c r="C59" s="65">
        <v>16010400</v>
      </c>
      <c r="D59" s="41">
        <v>0</v>
      </c>
      <c r="E59" s="41">
        <v>0</v>
      </c>
      <c r="F59" s="40">
        <v>0</v>
      </c>
      <c r="G59" s="49">
        <f t="shared" si="18"/>
        <v>0</v>
      </c>
      <c r="H59" s="40" t="e">
        <f t="shared" si="19"/>
        <v>#DIV/0!</v>
      </c>
      <c r="I59" s="56">
        <f t="shared" si="20"/>
        <v>0</v>
      </c>
      <c r="J59" s="56" t="e">
        <f t="shared" si="21"/>
        <v>#DIV/0!</v>
      </c>
      <c r="K59" s="56"/>
      <c r="L59" s="56">
        <f t="shared" si="12"/>
        <v>0</v>
      </c>
      <c r="M59" s="40">
        <f t="shared" si="6"/>
        <v>0</v>
      </c>
      <c r="N59" s="40">
        <f t="shared" si="7"/>
        <v>0</v>
      </c>
      <c r="O59" s="53">
        <f t="shared" si="22"/>
        <v>0</v>
      </c>
      <c r="P59" s="56" t="e">
        <f t="shared" si="23"/>
        <v>#DIV/0!</v>
      </c>
      <c r="Q59" s="56"/>
      <c r="R59" s="137"/>
    </row>
    <row r="60" spans="1:18" s="6" customFormat="1" ht="15.75" customHeight="1" hidden="1">
      <c r="A60" s="8"/>
      <c r="B60" s="15" t="s">
        <v>58</v>
      </c>
      <c r="C60" s="65">
        <v>16010500</v>
      </c>
      <c r="D60" s="41">
        <v>0</v>
      </c>
      <c r="E60" s="41">
        <v>0</v>
      </c>
      <c r="F60" s="40">
        <v>0</v>
      </c>
      <c r="G60" s="49">
        <f t="shared" si="18"/>
        <v>0</v>
      </c>
      <c r="H60" s="40" t="e">
        <f t="shared" si="19"/>
        <v>#DIV/0!</v>
      </c>
      <c r="I60" s="56">
        <f t="shared" si="20"/>
        <v>0</v>
      </c>
      <c r="J60" s="56" t="e">
        <f t="shared" si="21"/>
        <v>#DIV/0!</v>
      </c>
      <c r="K60" s="56"/>
      <c r="L60" s="56">
        <f t="shared" si="12"/>
        <v>0</v>
      </c>
      <c r="M60" s="40">
        <f t="shared" si="6"/>
        <v>0</v>
      </c>
      <c r="N60" s="40">
        <f t="shared" si="7"/>
        <v>0</v>
      </c>
      <c r="O60" s="53">
        <f t="shared" si="22"/>
        <v>0</v>
      </c>
      <c r="P60" s="56" t="e">
        <f t="shared" si="23"/>
        <v>#DIV/0!</v>
      </c>
      <c r="Q60" s="56"/>
      <c r="R60" s="137"/>
    </row>
    <row r="61" spans="1:18" s="6" customFormat="1" ht="15.75" customHeight="1" hidden="1">
      <c r="A61" s="8"/>
      <c r="B61" s="15" t="s">
        <v>59</v>
      </c>
      <c r="C61" s="65">
        <v>16010600</v>
      </c>
      <c r="D61" s="41">
        <v>0</v>
      </c>
      <c r="E61" s="41">
        <v>0</v>
      </c>
      <c r="F61" s="40">
        <v>0</v>
      </c>
      <c r="G61" s="49">
        <f t="shared" si="18"/>
        <v>0</v>
      </c>
      <c r="H61" s="40" t="e">
        <f t="shared" si="19"/>
        <v>#DIV/0!</v>
      </c>
      <c r="I61" s="56">
        <f t="shared" si="20"/>
        <v>0</v>
      </c>
      <c r="J61" s="56" t="e">
        <f t="shared" si="21"/>
        <v>#DIV/0!</v>
      </c>
      <c r="K61" s="56"/>
      <c r="L61" s="56">
        <f t="shared" si="12"/>
        <v>0</v>
      </c>
      <c r="M61" s="40">
        <f t="shared" si="6"/>
        <v>0</v>
      </c>
      <c r="N61" s="40">
        <f t="shared" si="7"/>
        <v>0</v>
      </c>
      <c r="O61" s="53">
        <f t="shared" si="22"/>
        <v>0</v>
      </c>
      <c r="P61" s="56" t="e">
        <f t="shared" si="23"/>
        <v>#DIV/0!</v>
      </c>
      <c r="Q61" s="56"/>
      <c r="R61" s="137"/>
    </row>
    <row r="62" spans="1:18" s="6" customFormat="1" ht="31.5" hidden="1">
      <c r="A62" s="8"/>
      <c r="B62" s="15" t="s">
        <v>60</v>
      </c>
      <c r="C62" s="65">
        <v>16011300</v>
      </c>
      <c r="D62" s="41">
        <v>0</v>
      </c>
      <c r="E62" s="41">
        <v>0</v>
      </c>
      <c r="F62" s="40">
        <v>0</v>
      </c>
      <c r="G62" s="49">
        <f t="shared" si="18"/>
        <v>0</v>
      </c>
      <c r="H62" s="40" t="e">
        <f t="shared" si="19"/>
        <v>#DIV/0!</v>
      </c>
      <c r="I62" s="56">
        <f t="shared" si="20"/>
        <v>0</v>
      </c>
      <c r="J62" s="56" t="e">
        <f t="shared" si="21"/>
        <v>#DIV/0!</v>
      </c>
      <c r="K62" s="56"/>
      <c r="L62" s="56">
        <f t="shared" si="12"/>
        <v>0</v>
      </c>
      <c r="M62" s="40">
        <f t="shared" si="6"/>
        <v>0</v>
      </c>
      <c r="N62" s="40">
        <f t="shared" si="7"/>
        <v>0</v>
      </c>
      <c r="O62" s="53">
        <f t="shared" si="22"/>
        <v>0</v>
      </c>
      <c r="P62" s="56" t="e">
        <f t="shared" si="23"/>
        <v>#DIV/0!</v>
      </c>
      <c r="Q62" s="56"/>
      <c r="R62" s="137"/>
    </row>
    <row r="63" spans="1:18" s="6" customFormat="1" ht="31.5" hidden="1">
      <c r="A63" s="8"/>
      <c r="B63" s="15" t="s">
        <v>61</v>
      </c>
      <c r="C63" s="65">
        <v>16011500</v>
      </c>
      <c r="D63" s="41">
        <v>0</v>
      </c>
      <c r="E63" s="41">
        <v>0</v>
      </c>
      <c r="F63" s="40">
        <v>0</v>
      </c>
      <c r="G63" s="49">
        <f t="shared" si="18"/>
        <v>0</v>
      </c>
      <c r="H63" s="40" t="e">
        <f t="shared" si="19"/>
        <v>#DIV/0!</v>
      </c>
      <c r="I63" s="56">
        <f t="shared" si="20"/>
        <v>0</v>
      </c>
      <c r="J63" s="56" t="e">
        <f t="shared" si="21"/>
        <v>#DIV/0!</v>
      </c>
      <c r="K63" s="56"/>
      <c r="L63" s="56">
        <f t="shared" si="12"/>
        <v>0</v>
      </c>
      <c r="M63" s="40">
        <f t="shared" si="6"/>
        <v>0</v>
      </c>
      <c r="N63" s="40">
        <f t="shared" si="7"/>
        <v>0</v>
      </c>
      <c r="O63" s="53">
        <f t="shared" si="22"/>
        <v>0</v>
      </c>
      <c r="P63" s="56" t="e">
        <f t="shared" si="23"/>
        <v>#DIV/0!</v>
      </c>
      <c r="Q63" s="56"/>
      <c r="R63" s="137"/>
    </row>
    <row r="64" spans="1:18" s="6" customFormat="1" ht="15.75" hidden="1">
      <c r="A64" s="8"/>
      <c r="B64" s="15" t="s">
        <v>62</v>
      </c>
      <c r="C64" s="65">
        <v>16011600</v>
      </c>
      <c r="D64" s="41">
        <v>0</v>
      </c>
      <c r="E64" s="41">
        <v>0</v>
      </c>
      <c r="F64" s="40">
        <v>0</v>
      </c>
      <c r="G64" s="49">
        <f t="shared" si="18"/>
        <v>0</v>
      </c>
      <c r="H64" s="40" t="e">
        <f t="shared" si="19"/>
        <v>#DIV/0!</v>
      </c>
      <c r="I64" s="56">
        <f t="shared" si="20"/>
        <v>0</v>
      </c>
      <c r="J64" s="56" t="e">
        <f t="shared" si="21"/>
        <v>#DIV/0!</v>
      </c>
      <c r="K64" s="56"/>
      <c r="L64" s="56">
        <f t="shared" si="12"/>
        <v>0</v>
      </c>
      <c r="M64" s="40">
        <f t="shared" si="6"/>
        <v>0</v>
      </c>
      <c r="N64" s="40">
        <f t="shared" si="7"/>
        <v>0</v>
      </c>
      <c r="O64" s="53">
        <f t="shared" si="22"/>
        <v>0</v>
      </c>
      <c r="P64" s="56" t="e">
        <f t="shared" si="23"/>
        <v>#DIV/0!</v>
      </c>
      <c r="Q64" s="56"/>
      <c r="R64" s="137"/>
    </row>
    <row r="65" spans="1:18" s="6" customFormat="1" ht="47.25" customHeight="1" hidden="1">
      <c r="A65" s="8"/>
      <c r="B65" s="15" t="s">
        <v>63</v>
      </c>
      <c r="C65" s="65">
        <v>16011700</v>
      </c>
      <c r="D65" s="41">
        <v>0</v>
      </c>
      <c r="E65" s="41">
        <v>0</v>
      </c>
      <c r="F65" s="40">
        <v>0</v>
      </c>
      <c r="G65" s="49">
        <f t="shared" si="18"/>
        <v>0</v>
      </c>
      <c r="H65" s="40" t="e">
        <f t="shared" si="19"/>
        <v>#DIV/0!</v>
      </c>
      <c r="I65" s="56">
        <f t="shared" si="20"/>
        <v>0</v>
      </c>
      <c r="J65" s="56" t="e">
        <f t="shared" si="21"/>
        <v>#DIV/0!</v>
      </c>
      <c r="K65" s="56"/>
      <c r="L65" s="56">
        <f t="shared" si="12"/>
        <v>0</v>
      </c>
      <c r="M65" s="40">
        <f t="shared" si="6"/>
        <v>0</v>
      </c>
      <c r="N65" s="40">
        <f t="shared" si="7"/>
        <v>0</v>
      </c>
      <c r="O65" s="53">
        <f t="shared" si="22"/>
        <v>0</v>
      </c>
      <c r="P65" s="56" t="e">
        <f t="shared" si="23"/>
        <v>#DIV/0!</v>
      </c>
      <c r="Q65" s="56"/>
      <c r="R65" s="137"/>
    </row>
    <row r="66" spans="1:18" s="6" customFormat="1" ht="15.75" hidden="1">
      <c r="A66" s="8"/>
      <c r="B66" s="12" t="s">
        <v>64</v>
      </c>
      <c r="C66" s="66">
        <v>16030000</v>
      </c>
      <c r="D66" s="41">
        <v>0</v>
      </c>
      <c r="E66" s="41">
        <v>0</v>
      </c>
      <c r="F66" s="40">
        <v>0</v>
      </c>
      <c r="G66" s="49">
        <f t="shared" si="18"/>
        <v>0</v>
      </c>
      <c r="H66" s="40" t="e">
        <f t="shared" si="19"/>
        <v>#DIV/0!</v>
      </c>
      <c r="I66" s="56">
        <f t="shared" si="20"/>
        <v>0</v>
      </c>
      <c r="J66" s="56" t="e">
        <f t="shared" si="21"/>
        <v>#DIV/0!</v>
      </c>
      <c r="K66" s="56"/>
      <c r="L66" s="56">
        <f t="shared" si="12"/>
        <v>0</v>
      </c>
      <c r="M66" s="40">
        <f t="shared" si="6"/>
        <v>0</v>
      </c>
      <c r="N66" s="40">
        <f t="shared" si="7"/>
        <v>0</v>
      </c>
      <c r="O66" s="53">
        <f t="shared" si="22"/>
        <v>0</v>
      </c>
      <c r="P66" s="56" t="e">
        <f t="shared" si="23"/>
        <v>#DIV/0!</v>
      </c>
      <c r="Q66" s="56"/>
      <c r="R66" s="137"/>
    </row>
    <row r="67" spans="1:18" s="6" customFormat="1" ht="15.75">
      <c r="A67" s="8"/>
      <c r="B67" s="15" t="s">
        <v>65</v>
      </c>
      <c r="C67" s="66">
        <v>19040000</v>
      </c>
      <c r="D67" s="41">
        <v>0.1</v>
      </c>
      <c r="E67" s="41">
        <v>0</v>
      </c>
      <c r="F67" s="40">
        <v>0</v>
      </c>
      <c r="G67" s="49">
        <f t="shared" si="18"/>
        <v>0</v>
      </c>
      <c r="H67" s="40"/>
      <c r="I67" s="56">
        <f t="shared" si="20"/>
        <v>-0.1</v>
      </c>
      <c r="J67" s="56">
        <f t="shared" si="21"/>
        <v>0</v>
      </c>
      <c r="K67" s="56">
        <f>F67-0.2</f>
        <v>-0.2</v>
      </c>
      <c r="L67" s="56"/>
      <c r="M67" s="40">
        <f t="shared" si="6"/>
        <v>0</v>
      </c>
      <c r="N67" s="40">
        <f t="shared" si="7"/>
        <v>0</v>
      </c>
      <c r="O67" s="53">
        <f t="shared" si="22"/>
        <v>0</v>
      </c>
      <c r="P67" s="56"/>
      <c r="Q67" s="56">
        <f>N67-0.2</f>
        <v>-0.2</v>
      </c>
      <c r="R67" s="137">
        <f>N67/0.2</f>
        <v>0</v>
      </c>
    </row>
    <row r="68" spans="1:18" s="6" customFormat="1" ht="47.25" customHeight="1" hidden="1">
      <c r="A68" s="8"/>
      <c r="B68" s="14" t="s">
        <v>66</v>
      </c>
      <c r="C68" s="91">
        <v>16040100</v>
      </c>
      <c r="D68" s="20"/>
      <c r="E68" s="20"/>
      <c r="F68" s="17"/>
      <c r="G68" s="49">
        <f t="shared" si="18"/>
        <v>0</v>
      </c>
      <c r="H68" s="40" t="e">
        <f>F68/E68*100</f>
        <v>#DIV/0!</v>
      </c>
      <c r="I68" s="56">
        <f t="shared" si="20"/>
        <v>0</v>
      </c>
      <c r="J68" s="56" t="e">
        <f t="shared" si="21"/>
        <v>#DIV/0!</v>
      </c>
      <c r="K68" s="56"/>
      <c r="L68" s="56"/>
      <c r="M68" s="40" t="e">
        <f>E68-#REF!</f>
        <v>#REF!</v>
      </c>
      <c r="N68" s="40" t="e">
        <f>F68-#REF!</f>
        <v>#REF!</v>
      </c>
      <c r="O68" s="53" t="e">
        <f t="shared" si="22"/>
        <v>#REF!</v>
      </c>
      <c r="P68" s="56" t="e">
        <f>N68/M68*100</f>
        <v>#REF!</v>
      </c>
      <c r="Q68" s="56"/>
      <c r="R68" s="137"/>
    </row>
    <row r="69" spans="1:18" s="6" customFormat="1" ht="31.5" hidden="1">
      <c r="A69" s="8"/>
      <c r="B69" s="43" t="s">
        <v>67</v>
      </c>
      <c r="C69" s="90">
        <v>16050000</v>
      </c>
      <c r="D69" s="20">
        <v>0</v>
      </c>
      <c r="E69" s="20"/>
      <c r="F69" s="45">
        <v>0</v>
      </c>
      <c r="G69" s="49">
        <f t="shared" si="18"/>
        <v>0</v>
      </c>
      <c r="H69" s="40" t="e">
        <f>F69/E69*100</f>
        <v>#DIV/0!</v>
      </c>
      <c r="I69" s="56">
        <f t="shared" si="20"/>
        <v>0</v>
      </c>
      <c r="J69" s="56" t="e">
        <f t="shared" si="21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2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15" t="s">
        <v>68</v>
      </c>
      <c r="C70" s="91">
        <v>16050100</v>
      </c>
      <c r="D70" s="20">
        <v>4590</v>
      </c>
      <c r="E70" s="20"/>
      <c r="F70" s="17"/>
      <c r="G70" s="49">
        <f t="shared" si="18"/>
        <v>0</v>
      </c>
      <c r="H70" s="40" t="e">
        <f>F70/E70*100</f>
        <v>#DIV/0!</v>
      </c>
      <c r="I70" s="56">
        <f t="shared" si="20"/>
        <v>-4590</v>
      </c>
      <c r="J70" s="56">
        <f t="shared" si="21"/>
        <v>0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2"/>
        <v>#REF!</v>
      </c>
      <c r="P70" s="56" t="e">
        <f>F70/M70*100</f>
        <v>#REF!</v>
      </c>
      <c r="Q70" s="56"/>
      <c r="R70" s="137"/>
    </row>
    <row r="71" spans="1:18" s="6" customFormat="1" ht="31.5" hidden="1">
      <c r="A71" s="8"/>
      <c r="B71" s="15" t="s">
        <v>69</v>
      </c>
      <c r="C71" s="91">
        <v>16050200</v>
      </c>
      <c r="D71" s="20">
        <v>4410</v>
      </c>
      <c r="E71" s="20"/>
      <c r="F71" s="17"/>
      <c r="G71" s="49">
        <f t="shared" si="18"/>
        <v>0</v>
      </c>
      <c r="H71" s="40" t="e">
        <f>F71/E71*100</f>
        <v>#DIV/0!</v>
      </c>
      <c r="I71" s="56">
        <f t="shared" si="20"/>
        <v>-4410</v>
      </c>
      <c r="J71" s="56">
        <f t="shared" si="21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2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7"/>
      <c r="B72" s="15" t="s">
        <v>67</v>
      </c>
      <c r="C72" s="91">
        <v>16050000</v>
      </c>
      <c r="D72" s="20"/>
      <c r="E72" s="20"/>
      <c r="F72" s="17">
        <v>0</v>
      </c>
      <c r="G72" s="49"/>
      <c r="H72" s="40"/>
      <c r="I72" s="56"/>
      <c r="J72" s="56"/>
      <c r="K72" s="56"/>
      <c r="L72" s="56"/>
      <c r="M72" s="40" t="e">
        <f>E72-#REF!</f>
        <v>#REF!</v>
      </c>
      <c r="N72" s="40" t="e">
        <f>F72-#REF!</f>
        <v>#REF!</v>
      </c>
      <c r="O72" s="53"/>
      <c r="P72" s="56"/>
      <c r="Q72" s="56"/>
      <c r="R72" s="137"/>
    </row>
    <row r="73" spans="1:18" s="6" customFormat="1" ht="18.75">
      <c r="A73" s="7"/>
      <c r="B73" s="23" t="s">
        <v>70</v>
      </c>
      <c r="C73" s="102">
        <v>20000000</v>
      </c>
      <c r="D73" s="22">
        <f>D76+D85+D86+D87+D88+D93+D95+D96+D97+D99+D103</f>
        <v>7706.1</v>
      </c>
      <c r="E73" s="22">
        <f>E76+E85+E86+E87+E88+E93+E95+E96+E97+E99+E103</f>
        <v>1056.1</v>
      </c>
      <c r="F73" s="22">
        <f>F76+F85+F87+F88+F93+F94+F95+F96+F97+F99+F103+F86</f>
        <v>931.8900000000001</v>
      </c>
      <c r="G73" s="50">
        <f aca="true" t="shared" si="24" ref="G73:G91">F73-E73</f>
        <v>-124.20999999999981</v>
      </c>
      <c r="H73" s="51">
        <f aca="true" t="shared" si="25" ref="H73:H85">F73/E73*100</f>
        <v>88.23880314364172</v>
      </c>
      <c r="I73" s="36">
        <f aca="true" t="shared" si="26" ref="I73:I91">F73-D73</f>
        <v>-6774.21</v>
      </c>
      <c r="J73" s="36">
        <f aca="true" t="shared" si="27" ref="J73:J91">F73/D73*100</f>
        <v>12.092887452797136</v>
      </c>
      <c r="K73" s="36">
        <f>F73-920</f>
        <v>11.8900000000001</v>
      </c>
      <c r="L73" s="36">
        <f>F73/920*100</f>
        <v>101.29239130434784</v>
      </c>
      <c r="M73" s="22">
        <f>M76+M85+M87+M88+M93+M94+M95+M96+M97+M99+M86</f>
        <v>1056.1</v>
      </c>
      <c r="N73" s="22">
        <f>N76+N85+N87+N88+N93+N94+N95+N96+N97+N99+N31+N103+N86</f>
        <v>931.8900000000001</v>
      </c>
      <c r="O73" s="55">
        <f aca="true" t="shared" si="28" ref="O73:O91">N73-M73</f>
        <v>-124.20999999999981</v>
      </c>
      <c r="P73" s="36">
        <f>N73/M73*100</f>
        <v>88.23880314364172</v>
      </c>
      <c r="Q73" s="36">
        <f>N73-920</f>
        <v>11.8900000000001</v>
      </c>
      <c r="R73" s="138">
        <f>N73/920</f>
        <v>1.0129239130434784</v>
      </c>
    </row>
    <row r="74" spans="1:18" s="6" customFormat="1" ht="31.5" hidden="1">
      <c r="A74" s="8"/>
      <c r="B74" s="11" t="s">
        <v>71</v>
      </c>
      <c r="C74" s="89">
        <v>21000000</v>
      </c>
      <c r="D74" s="20" t="e">
        <f>D76+#REF!</f>
        <v>#REF!</v>
      </c>
      <c r="E74" s="20"/>
      <c r="F74" s="18" t="e">
        <f>SUM(F75:F76)+SUM(#REF!)</f>
        <v>#REF!</v>
      </c>
      <c r="G74" s="49" t="e">
        <f t="shared" si="24"/>
        <v>#REF!</v>
      </c>
      <c r="H74" s="40" t="e">
        <f t="shared" si="25"/>
        <v>#REF!</v>
      </c>
      <c r="I74" s="56" t="e">
        <f t="shared" si="26"/>
        <v>#REF!</v>
      </c>
      <c r="J74" s="56" t="e">
        <f t="shared" si="27"/>
        <v>#REF!</v>
      </c>
      <c r="K74" s="56"/>
      <c r="L74" s="56"/>
      <c r="M74" s="58" t="e">
        <f>SUM(M75:M76)+SUM(#REF!)</f>
        <v>#REF!</v>
      </c>
      <c r="N74" s="58" t="e">
        <f>SUM(N75:N76)+SUM(#REF!)</f>
        <v>#REF!</v>
      </c>
      <c r="O74" s="53" t="e">
        <f t="shared" si="28"/>
        <v>#REF!</v>
      </c>
      <c r="P74" s="56" t="e">
        <f>F74/M74*100</f>
        <v>#REF!</v>
      </c>
      <c r="Q74" s="56"/>
      <c r="R74" s="137"/>
    </row>
    <row r="75" spans="1:18" s="6" customFormat="1" ht="15.75" hidden="1">
      <c r="A75" s="8"/>
      <c r="B75" s="12" t="s">
        <v>72</v>
      </c>
      <c r="C75" s="90">
        <v>21030000</v>
      </c>
      <c r="D75" s="20" t="e">
        <f>#REF!*0.001</f>
        <v>#REF!</v>
      </c>
      <c r="E75" s="20"/>
      <c r="F75" s="19"/>
      <c r="G75" s="49">
        <f t="shared" si="24"/>
        <v>0</v>
      </c>
      <c r="H75" s="40" t="e">
        <f t="shared" si="25"/>
        <v>#DIV/0!</v>
      </c>
      <c r="I75" s="56" t="e">
        <f t="shared" si="26"/>
        <v>#REF!</v>
      </c>
      <c r="J75" s="56" t="e">
        <f t="shared" si="27"/>
        <v>#REF!</v>
      </c>
      <c r="K75" s="56"/>
      <c r="L75" s="56"/>
      <c r="M75" s="59"/>
      <c r="N75" s="59"/>
      <c r="O75" s="53">
        <f t="shared" si="28"/>
        <v>0</v>
      </c>
      <c r="P75" s="56" t="e">
        <f>F75/M75*100</f>
        <v>#DIV/0!</v>
      </c>
      <c r="Q75" s="56"/>
      <c r="R75" s="137"/>
    </row>
    <row r="76" spans="1:18" s="6" customFormat="1" ht="47.25">
      <c r="A76" s="8"/>
      <c r="B76" s="67" t="s">
        <v>106</v>
      </c>
      <c r="C76" s="66">
        <v>21010301</v>
      </c>
      <c r="D76" s="41">
        <v>671</v>
      </c>
      <c r="E76" s="41">
        <v>1</v>
      </c>
      <c r="F76" s="57">
        <v>0</v>
      </c>
      <c r="G76" s="49">
        <f t="shared" si="24"/>
        <v>-1</v>
      </c>
      <c r="H76" s="40">
        <f t="shared" si="25"/>
        <v>0</v>
      </c>
      <c r="I76" s="56">
        <f t="shared" si="26"/>
        <v>-671</v>
      </c>
      <c r="J76" s="56">
        <f t="shared" si="27"/>
        <v>0</v>
      </c>
      <c r="K76" s="56">
        <f>F76-0.9</f>
        <v>-0.9</v>
      </c>
      <c r="L76" s="56">
        <f>F76/0.9*100</f>
        <v>0</v>
      </c>
      <c r="M76" s="40">
        <f>E76</f>
        <v>1</v>
      </c>
      <c r="N76" s="40">
        <f>F76</f>
        <v>0</v>
      </c>
      <c r="O76" s="53">
        <f t="shared" si="28"/>
        <v>-1</v>
      </c>
      <c r="P76" s="56">
        <f aca="true" t="shared" si="29" ref="P76:P85">N76/M76*100</f>
        <v>0</v>
      </c>
      <c r="Q76" s="56">
        <f>N76-0.9</f>
        <v>-0.9</v>
      </c>
      <c r="R76" s="137">
        <f>N76/0.9</f>
        <v>0</v>
      </c>
    </row>
    <row r="77" spans="1:18" s="6" customFormat="1" ht="31.5" hidden="1">
      <c r="A77" s="8"/>
      <c r="B77" s="11" t="s">
        <v>74</v>
      </c>
      <c r="C77" s="64" t="s">
        <v>75</v>
      </c>
      <c r="D77" s="41">
        <v>0</v>
      </c>
      <c r="E77" s="41">
        <v>0</v>
      </c>
      <c r="F77" s="57">
        <v>0</v>
      </c>
      <c r="G77" s="49">
        <f t="shared" si="24"/>
        <v>0</v>
      </c>
      <c r="H77" s="40" t="e">
        <f t="shared" si="25"/>
        <v>#DIV/0!</v>
      </c>
      <c r="I77" s="56">
        <f t="shared" si="26"/>
        <v>0</v>
      </c>
      <c r="J77" s="56" t="e">
        <f t="shared" si="27"/>
        <v>#DIV/0!</v>
      </c>
      <c r="K77" s="56"/>
      <c r="L77" s="56">
        <f aca="true" t="shared" si="30" ref="L77:L101">F77</f>
        <v>0</v>
      </c>
      <c r="M77" s="40">
        <f aca="true" t="shared" si="31" ref="M77:M105">E77</f>
        <v>0</v>
      </c>
      <c r="N77" s="40">
        <f aca="true" t="shared" si="32" ref="N77:N105">F77</f>
        <v>0</v>
      </c>
      <c r="O77" s="53">
        <f t="shared" si="28"/>
        <v>0</v>
      </c>
      <c r="P77" s="56" t="e">
        <f t="shared" si="29"/>
        <v>#DIV/0!</v>
      </c>
      <c r="Q77" s="56"/>
      <c r="R77" s="137"/>
    </row>
    <row r="78" spans="1:18" s="6" customFormat="1" ht="31.5" hidden="1">
      <c r="A78" s="8"/>
      <c r="B78" s="12" t="s">
        <v>76</v>
      </c>
      <c r="C78" s="66" t="s">
        <v>77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56">
        <f t="shared" si="30"/>
        <v>0</v>
      </c>
      <c r="M78" s="40">
        <f t="shared" si="31"/>
        <v>0</v>
      </c>
      <c r="N78" s="40">
        <f t="shared" si="32"/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4" t="s">
        <v>79</v>
      </c>
      <c r="C79" s="65">
        <v>22080400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56">
        <f t="shared" si="30"/>
        <v>0</v>
      </c>
      <c r="M79" s="40">
        <f t="shared" si="31"/>
        <v>0</v>
      </c>
      <c r="N79" s="40">
        <f t="shared" si="32"/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15.75" hidden="1">
      <c r="A80" s="8"/>
      <c r="B80" s="12" t="s">
        <v>80</v>
      </c>
      <c r="C80" s="66" t="s">
        <v>81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56">
        <f t="shared" si="30"/>
        <v>0</v>
      </c>
      <c r="M80" s="40">
        <f t="shared" si="31"/>
        <v>0</v>
      </c>
      <c r="N80" s="40">
        <f t="shared" si="32"/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47.25" hidden="1">
      <c r="A81" s="8"/>
      <c r="B81" s="14" t="s">
        <v>82</v>
      </c>
      <c r="C81" s="65" t="s">
        <v>83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56">
        <f t="shared" si="30"/>
        <v>0</v>
      </c>
      <c r="M81" s="40">
        <f t="shared" si="31"/>
        <v>0</v>
      </c>
      <c r="N81" s="40">
        <f t="shared" si="32"/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84</v>
      </c>
      <c r="C82" s="65" t="s">
        <v>85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56">
        <f t="shared" si="30"/>
        <v>0</v>
      </c>
      <c r="M82" s="40">
        <f t="shared" si="31"/>
        <v>0</v>
      </c>
      <c r="N82" s="40">
        <f t="shared" si="32"/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31.5" hidden="1">
      <c r="A83" s="8"/>
      <c r="B83" s="14" t="s">
        <v>86</v>
      </c>
      <c r="C83" s="65" t="s">
        <v>87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56">
        <f t="shared" si="30"/>
        <v>0</v>
      </c>
      <c r="M83" s="40">
        <f t="shared" si="31"/>
        <v>0</v>
      </c>
      <c r="N83" s="40">
        <f t="shared" si="32"/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15.75" hidden="1">
      <c r="A84" s="8"/>
      <c r="B84" s="11" t="s">
        <v>88</v>
      </c>
      <c r="C84" s="64" t="s">
        <v>89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56">
        <f t="shared" si="30"/>
        <v>0</v>
      </c>
      <c r="M84" s="40">
        <f t="shared" si="31"/>
        <v>0</v>
      </c>
      <c r="N84" s="40">
        <f t="shared" si="32"/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31.5">
      <c r="A85" s="8"/>
      <c r="B85" s="75" t="s">
        <v>133</v>
      </c>
      <c r="C85" s="64">
        <v>21050000</v>
      </c>
      <c r="D85" s="41">
        <v>700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-700</v>
      </c>
      <c r="J85" s="56">
        <f t="shared" si="27"/>
        <v>0</v>
      </c>
      <c r="K85" s="56">
        <f>F85-0</f>
        <v>0</v>
      </c>
      <c r="L85" s="56" t="e">
        <f>F85/0*100</f>
        <v>#DIV/0!</v>
      </c>
      <c r="M85" s="40">
        <f t="shared" si="31"/>
        <v>0</v>
      </c>
      <c r="N85" s="40">
        <f t="shared" si="32"/>
        <v>0</v>
      </c>
      <c r="O85" s="53">
        <f t="shared" si="28"/>
        <v>0</v>
      </c>
      <c r="P85" s="56" t="e">
        <f t="shared" si="29"/>
        <v>#DIV/0!</v>
      </c>
      <c r="Q85" s="56">
        <f>N85-0</f>
        <v>0</v>
      </c>
      <c r="R85" s="137" t="e">
        <f>N85/0</f>
        <v>#DIV/0!</v>
      </c>
    </row>
    <row r="86" spans="1:18" s="6" customFormat="1" ht="15.75">
      <c r="A86" s="8"/>
      <c r="B86" s="75" t="s">
        <v>171</v>
      </c>
      <c r="C86" s="64">
        <v>21080500</v>
      </c>
      <c r="D86" s="41"/>
      <c r="E86" s="41"/>
      <c r="F86" s="57">
        <v>0</v>
      </c>
      <c r="G86" s="49"/>
      <c r="H86" s="40"/>
      <c r="I86" s="56"/>
      <c r="J86" s="56"/>
      <c r="K86" s="56"/>
      <c r="L86" s="56"/>
      <c r="M86" s="40">
        <f t="shared" si="31"/>
        <v>0</v>
      </c>
      <c r="N86" s="40">
        <f t="shared" si="32"/>
        <v>0</v>
      </c>
      <c r="O86" s="53"/>
      <c r="P86" s="56"/>
      <c r="Q86" s="56"/>
      <c r="R86" s="137"/>
    </row>
    <row r="87" spans="1:18" s="6" customFormat="1" ht="31.5">
      <c r="A87" s="8"/>
      <c r="B87" s="35" t="s">
        <v>123</v>
      </c>
      <c r="C87" s="103">
        <v>21080900</v>
      </c>
      <c r="D87" s="41">
        <v>5.1</v>
      </c>
      <c r="E87" s="41">
        <v>0.1</v>
      </c>
      <c r="F87" s="57">
        <v>0</v>
      </c>
      <c r="G87" s="49">
        <f t="shared" si="24"/>
        <v>-0.1</v>
      </c>
      <c r="H87" s="40">
        <f>F87/E87*100</f>
        <v>0</v>
      </c>
      <c r="I87" s="56">
        <f t="shared" si="26"/>
        <v>-5.1</v>
      </c>
      <c r="J87" s="56">
        <f t="shared" si="27"/>
        <v>0</v>
      </c>
      <c r="K87" s="56">
        <f>F87-0</f>
        <v>0</v>
      </c>
      <c r="L87" s="56" t="e">
        <f>F87/0*100</f>
        <v>#DIV/0!</v>
      </c>
      <c r="M87" s="40">
        <f t="shared" si="31"/>
        <v>0.1</v>
      </c>
      <c r="N87" s="40">
        <f t="shared" si="32"/>
        <v>0</v>
      </c>
      <c r="O87" s="53">
        <f t="shared" si="28"/>
        <v>-0.1</v>
      </c>
      <c r="P87" s="56">
        <f>N87/M87*100</f>
        <v>0</v>
      </c>
      <c r="Q87" s="56">
        <f>N87-0</f>
        <v>0</v>
      </c>
      <c r="R87" s="137"/>
    </row>
    <row r="88" spans="1:18" s="6" customFormat="1" ht="15.75">
      <c r="A88" s="8"/>
      <c r="B88" s="15" t="s">
        <v>90</v>
      </c>
      <c r="C88" s="104">
        <v>21081100</v>
      </c>
      <c r="D88" s="41">
        <v>60</v>
      </c>
      <c r="E88" s="41">
        <v>10</v>
      </c>
      <c r="F88" s="57">
        <v>6.9</v>
      </c>
      <c r="G88" s="49">
        <f t="shared" si="24"/>
        <v>-3.0999999999999996</v>
      </c>
      <c r="H88" s="40">
        <f>F88/E88*100</f>
        <v>69</v>
      </c>
      <c r="I88" s="56">
        <f t="shared" si="26"/>
        <v>-53.1</v>
      </c>
      <c r="J88" s="56">
        <f t="shared" si="27"/>
        <v>11.5</v>
      </c>
      <c r="K88" s="56">
        <f>F88-11.9</f>
        <v>-5</v>
      </c>
      <c r="L88" s="56">
        <f>F88/11.9*100</f>
        <v>57.98319327731093</v>
      </c>
      <c r="M88" s="40">
        <f t="shared" si="31"/>
        <v>10</v>
      </c>
      <c r="N88" s="40">
        <f t="shared" si="32"/>
        <v>6.9</v>
      </c>
      <c r="O88" s="53">
        <f t="shared" si="28"/>
        <v>-3.0999999999999996</v>
      </c>
      <c r="P88" s="56">
        <f>N88/M88*100</f>
        <v>69</v>
      </c>
      <c r="Q88" s="56">
        <f>N88-11.9</f>
        <v>-5</v>
      </c>
      <c r="R88" s="137">
        <f>N88/11.9</f>
        <v>0.5798319327731093</v>
      </c>
    </row>
    <row r="89" spans="1:18" s="6" customFormat="1" ht="78.75" hidden="1">
      <c r="A89" s="8"/>
      <c r="B89" s="14" t="s">
        <v>91</v>
      </c>
      <c r="C89" s="66" t="s">
        <v>92</v>
      </c>
      <c r="D89" s="41">
        <v>0</v>
      </c>
      <c r="E89" s="41">
        <v>0</v>
      </c>
      <c r="F89" s="57">
        <v>0</v>
      </c>
      <c r="G89" s="49">
        <f t="shared" si="24"/>
        <v>0</v>
      </c>
      <c r="H89" s="40" t="e">
        <f>F89/E89*100</f>
        <v>#DIV/0!</v>
      </c>
      <c r="I89" s="56">
        <f t="shared" si="26"/>
        <v>0</v>
      </c>
      <c r="J89" s="56" t="e">
        <f t="shared" si="27"/>
        <v>#DIV/0!</v>
      </c>
      <c r="K89" s="56"/>
      <c r="L89" s="56">
        <f t="shared" si="30"/>
        <v>0</v>
      </c>
      <c r="M89" s="40">
        <f t="shared" si="31"/>
        <v>0</v>
      </c>
      <c r="N89" s="40">
        <f t="shared" si="32"/>
        <v>0</v>
      </c>
      <c r="O89" s="53">
        <f t="shared" si="28"/>
        <v>0</v>
      </c>
      <c r="P89" s="56" t="e">
        <f>N89/M89*100</f>
        <v>#DIV/0!</v>
      </c>
      <c r="Q89" s="56"/>
      <c r="R89" s="137"/>
    </row>
    <row r="90" spans="1:18" s="6" customFormat="1" ht="15.75" hidden="1">
      <c r="A90" s="8"/>
      <c r="B90" s="14" t="s">
        <v>90</v>
      </c>
      <c r="C90" s="66" t="s">
        <v>93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56">
        <f t="shared" si="30"/>
        <v>0</v>
      </c>
      <c r="M90" s="40">
        <f t="shared" si="31"/>
        <v>0</v>
      </c>
      <c r="N90" s="40">
        <f t="shared" si="32"/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1" t="s">
        <v>94</v>
      </c>
      <c r="C91" s="64" t="s">
        <v>95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56">
        <f t="shared" si="30"/>
        <v>0</v>
      </c>
      <c r="M91" s="40">
        <f t="shared" si="31"/>
        <v>0</v>
      </c>
      <c r="N91" s="40">
        <f t="shared" si="32"/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31.5" hidden="1">
      <c r="A92" s="8"/>
      <c r="B92" s="67" t="s">
        <v>126</v>
      </c>
      <c r="C92" s="64"/>
      <c r="D92" s="41">
        <v>0</v>
      </c>
      <c r="E92" s="41">
        <v>0</v>
      </c>
      <c r="F92" s="57">
        <v>0</v>
      </c>
      <c r="G92" s="49"/>
      <c r="H92" s="40"/>
      <c r="I92" s="56"/>
      <c r="J92" s="56"/>
      <c r="K92" s="56"/>
      <c r="L92" s="56">
        <f t="shared" si="30"/>
        <v>0</v>
      </c>
      <c r="M92" s="40">
        <f t="shared" si="31"/>
        <v>0</v>
      </c>
      <c r="N92" s="40">
        <f t="shared" si="32"/>
        <v>0</v>
      </c>
      <c r="O92" s="53"/>
      <c r="P92" s="56"/>
      <c r="Q92" s="56"/>
      <c r="R92" s="137"/>
    </row>
    <row r="93" spans="1:18" s="6" customFormat="1" ht="47.25">
      <c r="A93" s="8"/>
      <c r="B93" s="47" t="s">
        <v>137</v>
      </c>
      <c r="C93" s="105">
        <v>22010300</v>
      </c>
      <c r="D93" s="41">
        <v>0</v>
      </c>
      <c r="E93" s="41">
        <v>0</v>
      </c>
      <c r="F93" s="57">
        <v>0</v>
      </c>
      <c r="G93" s="49">
        <f aca="true" t="shared" si="33" ref="G93:G101">F93-E93</f>
        <v>0</v>
      </c>
      <c r="H93" s="40" t="e">
        <f>F93/E93*100</f>
        <v>#DIV/0!</v>
      </c>
      <c r="I93" s="56">
        <f aca="true" t="shared" si="34" ref="I93:I100">F93-D93</f>
        <v>0</v>
      </c>
      <c r="J93" s="56" t="e">
        <f>F93/D93*100</f>
        <v>#DIV/0!</v>
      </c>
      <c r="K93" s="56">
        <f>F93-15.2</f>
        <v>-15.2</v>
      </c>
      <c r="L93" s="56">
        <f>F93/15.2*100</f>
        <v>0</v>
      </c>
      <c r="M93" s="40">
        <f t="shared" si="31"/>
        <v>0</v>
      </c>
      <c r="N93" s="40">
        <f t="shared" si="32"/>
        <v>0</v>
      </c>
      <c r="O93" s="53">
        <f aca="true" t="shared" si="35" ref="O93:O101">N93-M93</f>
        <v>0</v>
      </c>
      <c r="P93" s="56" t="e">
        <f>N93/M93*100</f>
        <v>#DIV/0!</v>
      </c>
      <c r="Q93" s="56">
        <f>N93-15.2</f>
        <v>-15.2</v>
      </c>
      <c r="R93" s="137"/>
    </row>
    <row r="94" spans="1:18" s="6" customFormat="1" ht="47.25" hidden="1">
      <c r="A94" s="8"/>
      <c r="B94" s="47" t="s">
        <v>138</v>
      </c>
      <c r="C94" s="105">
        <v>22010900</v>
      </c>
      <c r="D94" s="41">
        <v>0</v>
      </c>
      <c r="E94" s="41">
        <v>0</v>
      </c>
      <c r="F94" s="57">
        <v>0</v>
      </c>
      <c r="G94" s="49">
        <f t="shared" si="33"/>
        <v>0</v>
      </c>
      <c r="H94" s="40"/>
      <c r="I94" s="56">
        <f t="shared" si="34"/>
        <v>0</v>
      </c>
      <c r="J94" s="56"/>
      <c r="K94" s="56"/>
      <c r="L94" s="56">
        <f t="shared" si="30"/>
        <v>0</v>
      </c>
      <c r="M94" s="40">
        <f t="shared" si="31"/>
        <v>0</v>
      </c>
      <c r="N94" s="40">
        <f t="shared" si="32"/>
        <v>0</v>
      </c>
      <c r="O94" s="53">
        <f t="shared" si="35"/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3780</v>
      </c>
      <c r="E95" s="41">
        <v>630</v>
      </c>
      <c r="F95" s="57">
        <v>636.61</v>
      </c>
      <c r="G95" s="49">
        <f t="shared" si="33"/>
        <v>6.610000000000014</v>
      </c>
      <c r="H95" s="40">
        <f>F95/E95*100</f>
        <v>101.04920634920636</v>
      </c>
      <c r="I95" s="56">
        <f t="shared" si="34"/>
        <v>-3143.39</v>
      </c>
      <c r="J95" s="56">
        <f>F95/D95*100</f>
        <v>16.841534391534392</v>
      </c>
      <c r="K95" s="56">
        <f>F95-638.2</f>
        <v>-1.5900000000000318</v>
      </c>
      <c r="L95" s="56">
        <f>F95/638.2*100</f>
        <v>99.75086179880914</v>
      </c>
      <c r="M95" s="40">
        <f t="shared" si="31"/>
        <v>630</v>
      </c>
      <c r="N95" s="40">
        <f t="shared" si="32"/>
        <v>636.61</v>
      </c>
      <c r="O95" s="53">
        <f t="shared" si="35"/>
        <v>6.610000000000014</v>
      </c>
      <c r="P95" s="56">
        <f>N95/M95*100</f>
        <v>101.04920634920636</v>
      </c>
      <c r="Q95" s="56">
        <f>N95-638.2</f>
        <v>-1.5900000000000318</v>
      </c>
      <c r="R95" s="137">
        <f>N95/638.2</f>
        <v>0.9975086179880914</v>
      </c>
    </row>
    <row r="96" spans="1:18" s="6" customFormat="1" ht="15.75">
      <c r="A96" s="8"/>
      <c r="B96" s="15" t="s">
        <v>80</v>
      </c>
      <c r="C96" s="66">
        <v>22090000</v>
      </c>
      <c r="D96" s="41">
        <v>510</v>
      </c>
      <c r="E96" s="41">
        <v>85</v>
      </c>
      <c r="F96" s="57">
        <v>30.69</v>
      </c>
      <c r="G96" s="49">
        <f t="shared" si="33"/>
        <v>-54.31</v>
      </c>
      <c r="H96" s="40">
        <f>F96/E96*100</f>
        <v>36.10588235294118</v>
      </c>
      <c r="I96" s="56">
        <f t="shared" si="34"/>
        <v>-479.31</v>
      </c>
      <c r="J96" s="56">
        <f>F96/D96*100</f>
        <v>6.017647058823529</v>
      </c>
      <c r="K96" s="56">
        <f>F96-17.2</f>
        <v>13.490000000000002</v>
      </c>
      <c r="L96" s="56">
        <f>F96/17.2*100</f>
        <v>178.43023255813955</v>
      </c>
      <c r="M96" s="40">
        <f t="shared" si="31"/>
        <v>85</v>
      </c>
      <c r="N96" s="40">
        <f t="shared" si="32"/>
        <v>30.69</v>
      </c>
      <c r="O96" s="53">
        <f t="shared" si="35"/>
        <v>-54.31</v>
      </c>
      <c r="P96" s="56">
        <f>N96/M96*100</f>
        <v>36.10588235294118</v>
      </c>
      <c r="Q96" s="56">
        <f>N96-17.2</f>
        <v>13.490000000000002</v>
      </c>
      <c r="R96" s="137">
        <f>N96/17.2</f>
        <v>1.7843023255813955</v>
      </c>
    </row>
    <row r="97" spans="1:18" s="6" customFormat="1" ht="47.25">
      <c r="A97" s="8"/>
      <c r="B97" s="15" t="s">
        <v>96</v>
      </c>
      <c r="C97" s="13" t="s">
        <v>97</v>
      </c>
      <c r="D97" s="41">
        <v>0</v>
      </c>
      <c r="E97" s="41">
        <v>0</v>
      </c>
      <c r="F97" s="57">
        <v>0</v>
      </c>
      <c r="G97" s="49">
        <f t="shared" si="33"/>
        <v>0</v>
      </c>
      <c r="H97" s="40"/>
      <c r="I97" s="56">
        <f t="shared" si="34"/>
        <v>0</v>
      </c>
      <c r="J97" s="56"/>
      <c r="K97" s="56"/>
      <c r="L97" s="56"/>
      <c r="M97" s="40">
        <f t="shared" si="31"/>
        <v>0</v>
      </c>
      <c r="N97" s="40">
        <f t="shared" si="32"/>
        <v>0</v>
      </c>
      <c r="O97" s="53">
        <f t="shared" si="35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3"/>
        <v>0</v>
      </c>
      <c r="H98" s="40" t="e">
        <f>F98/E98*100</f>
        <v>#DIV/0!</v>
      </c>
      <c r="I98" s="56">
        <f t="shared" si="34"/>
        <v>0</v>
      </c>
      <c r="J98" s="56" t="e">
        <f>F98/D98*100</f>
        <v>#DIV/0!</v>
      </c>
      <c r="K98" s="56"/>
      <c r="L98" s="56">
        <f t="shared" si="30"/>
        <v>0</v>
      </c>
      <c r="M98" s="40">
        <f t="shared" si="31"/>
        <v>0</v>
      </c>
      <c r="N98" s="40">
        <f t="shared" si="32"/>
        <v>0</v>
      </c>
      <c r="O98" s="53">
        <f t="shared" si="35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1980</v>
      </c>
      <c r="E99" s="41">
        <v>330</v>
      </c>
      <c r="F99" s="57">
        <v>257.69</v>
      </c>
      <c r="G99" s="49">
        <f t="shared" si="33"/>
        <v>-72.31</v>
      </c>
      <c r="H99" s="40">
        <f>F99/E99*100</f>
        <v>78.08787878787878</v>
      </c>
      <c r="I99" s="56">
        <f t="shared" si="34"/>
        <v>-1722.31</v>
      </c>
      <c r="J99" s="56">
        <f>F99/D99*100</f>
        <v>13.014646464646464</v>
      </c>
      <c r="K99" s="56">
        <f>F99-236.4</f>
        <v>21.289999999999992</v>
      </c>
      <c r="L99" s="56">
        <f>F99/236.5*100</f>
        <v>108.95983086680761</v>
      </c>
      <c r="M99" s="40">
        <f t="shared" si="31"/>
        <v>330</v>
      </c>
      <c r="N99" s="40">
        <f t="shared" si="32"/>
        <v>257.69</v>
      </c>
      <c r="O99" s="53">
        <f t="shared" si="35"/>
        <v>-72.31</v>
      </c>
      <c r="P99" s="56">
        <f>N99/M99*100</f>
        <v>78.08787878787878</v>
      </c>
      <c r="Q99" s="56">
        <f>N99-236.4</f>
        <v>21.289999999999992</v>
      </c>
      <c r="R99" s="137">
        <f>N99/236.4</f>
        <v>1.0900592216582063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3"/>
        <v>0</v>
      </c>
      <c r="H100" s="40" t="e">
        <f>F100/E100*100</f>
        <v>#DIV/0!</v>
      </c>
      <c r="I100" s="56">
        <f t="shared" si="34"/>
        <v>0</v>
      </c>
      <c r="J100" s="56" t="e">
        <f>F100/D100*100</f>
        <v>#DIV/0!</v>
      </c>
      <c r="K100" s="56"/>
      <c r="L100" s="56">
        <f t="shared" si="30"/>
        <v>0</v>
      </c>
      <c r="M100" s="40">
        <f t="shared" si="31"/>
        <v>0</v>
      </c>
      <c r="N100" s="40">
        <f t="shared" si="32"/>
        <v>0</v>
      </c>
      <c r="O100" s="53">
        <f t="shared" si="35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3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0"/>
        <v>0</v>
      </c>
      <c r="M101" s="40">
        <f t="shared" si="31"/>
        <v>0</v>
      </c>
      <c r="N101" s="40">
        <f t="shared" si="32"/>
        <v>0</v>
      </c>
      <c r="O101" s="53">
        <f t="shared" si="35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41"/>
      <c r="E102" s="41"/>
      <c r="F102" s="57">
        <v>63.7</v>
      </c>
      <c r="G102" s="49"/>
      <c r="H102" s="40"/>
      <c r="I102" s="56"/>
      <c r="J102" s="56"/>
      <c r="K102" s="56">
        <f>F102-30.6</f>
        <v>33.1</v>
      </c>
      <c r="L102" s="60">
        <f>F102/30.6*100</f>
        <v>208.16993464052288</v>
      </c>
      <c r="M102" s="40">
        <f t="shared" si="31"/>
        <v>0</v>
      </c>
      <c r="N102" s="40">
        <f t="shared" si="32"/>
        <v>63.7</v>
      </c>
      <c r="O102" s="53"/>
      <c r="P102" s="56"/>
      <c r="Q102" s="56">
        <f>N102-30.6</f>
        <v>33.1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0</v>
      </c>
      <c r="E103" s="41">
        <v>0</v>
      </c>
      <c r="F103" s="57">
        <v>0</v>
      </c>
      <c r="G103" s="49"/>
      <c r="H103" s="40"/>
      <c r="I103" s="56">
        <f aca="true" t="shared" si="36" ref="I103:I110">F103-D103</f>
        <v>0</v>
      </c>
      <c r="J103" s="56"/>
      <c r="K103" s="56">
        <f>F103-0</f>
        <v>0</v>
      </c>
      <c r="L103" s="56" t="e">
        <f>F103/0*100</f>
        <v>#DIV/0!</v>
      </c>
      <c r="M103" s="40">
        <f t="shared" si="31"/>
        <v>0</v>
      </c>
      <c r="N103" s="40">
        <f t="shared" si="32"/>
        <v>0</v>
      </c>
      <c r="O103" s="53">
        <f aca="true" t="shared" si="37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6</v>
      </c>
      <c r="E104" s="41">
        <v>1</v>
      </c>
      <c r="F104" s="57">
        <v>0</v>
      </c>
      <c r="G104" s="49">
        <f>F104-E104</f>
        <v>-1</v>
      </c>
      <c r="H104" s="40"/>
      <c r="I104" s="56">
        <f t="shared" si="36"/>
        <v>-6</v>
      </c>
      <c r="J104" s="56">
        <f aca="true" t="shared" si="38" ref="J104:J109">F104/D104*100</f>
        <v>0</v>
      </c>
      <c r="K104" s="56">
        <f>F104-0</f>
        <v>0</v>
      </c>
      <c r="L104" s="56" t="e">
        <f>F104/0*100</f>
        <v>#DIV/0!</v>
      </c>
      <c r="M104" s="40">
        <f t="shared" si="31"/>
        <v>1</v>
      </c>
      <c r="N104" s="40">
        <f t="shared" si="32"/>
        <v>0</v>
      </c>
      <c r="O104" s="53">
        <f t="shared" si="37"/>
        <v>-1</v>
      </c>
      <c r="P104" s="56"/>
      <c r="Q104" s="56"/>
      <c r="R104" s="137"/>
    </row>
    <row r="105" spans="1:18" s="6" customFormat="1" ht="31.5">
      <c r="A105" s="8"/>
      <c r="B105" s="14" t="s">
        <v>167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1"/>
        <v>0</v>
      </c>
      <c r="N105" s="40">
        <f t="shared" si="32"/>
        <v>0</v>
      </c>
      <c r="O105" s="53">
        <f t="shared" si="37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D8+D73+D104+D105</f>
        <v>230977.2</v>
      </c>
      <c r="E106" s="22">
        <f>E8+E73+E104+E105</f>
        <v>35262.1</v>
      </c>
      <c r="F106" s="22">
        <f>F8+F73+F104+F105</f>
        <v>19179.19</v>
      </c>
      <c r="G106" s="50">
        <f>F106-E106</f>
        <v>-16082.91</v>
      </c>
      <c r="H106" s="51">
        <f>F106/E106*100</f>
        <v>54.39037947257821</v>
      </c>
      <c r="I106" s="36">
        <f t="shared" si="36"/>
        <v>-211798.01</v>
      </c>
      <c r="J106" s="36">
        <f t="shared" si="38"/>
        <v>8.303499219836416</v>
      </c>
      <c r="K106" s="36">
        <f>F106-34521.7</f>
        <v>-15342.509999999998</v>
      </c>
      <c r="L106" s="36">
        <f>F106/34521.7*100</f>
        <v>55.556910580881016</v>
      </c>
      <c r="M106" s="22">
        <f>M8+M73+M104+M105</f>
        <v>35262.1</v>
      </c>
      <c r="N106" s="22">
        <f>N8+N73+N104+N105</f>
        <v>19179.19</v>
      </c>
      <c r="O106" s="55">
        <f t="shared" si="37"/>
        <v>-16082.91</v>
      </c>
      <c r="P106" s="36">
        <f>N106/M106*100</f>
        <v>54.39037947257821</v>
      </c>
      <c r="Q106" s="36">
        <f>N106-34521.7</f>
        <v>-15342.509999999998</v>
      </c>
      <c r="R106" s="138">
        <f>N106/34521.7</f>
        <v>0.5555691058088101</v>
      </c>
    </row>
    <row r="107" spans="1:18" s="73" customFormat="1" ht="18.75">
      <c r="A107" s="69"/>
      <c r="B107" s="70" t="s">
        <v>143</v>
      </c>
      <c r="C107" s="93"/>
      <c r="D107" s="71">
        <f>D10-D18+D93+D96</f>
        <v>180730</v>
      </c>
      <c r="E107" s="71">
        <f>E10-E18+E93+E96</f>
        <v>27235</v>
      </c>
      <c r="F107" s="71">
        <f>F10-F18+F93+F96</f>
        <v>16320.130000000001</v>
      </c>
      <c r="G107" s="71">
        <f>G10-G18+G93+G96</f>
        <v>-10914.869999999999</v>
      </c>
      <c r="H107" s="72">
        <f>F107/E107*100</f>
        <v>59.923370662750145</v>
      </c>
      <c r="I107" s="52">
        <f t="shared" si="36"/>
        <v>-164409.87</v>
      </c>
      <c r="J107" s="52">
        <f t="shared" si="38"/>
        <v>9.030116748741216</v>
      </c>
      <c r="K107" s="52">
        <f>F107-26764.7</f>
        <v>-10444.57</v>
      </c>
      <c r="L107" s="52">
        <f>F107/26764.7*100</f>
        <v>60.976323291499625</v>
      </c>
      <c r="M107" s="71">
        <f>M10-M18+M93+M96</f>
        <v>27235</v>
      </c>
      <c r="N107" s="71">
        <f>N10-N18+N93+N96</f>
        <v>16320.130000000001</v>
      </c>
      <c r="O107" s="53">
        <f t="shared" si="37"/>
        <v>-10914.869999999999</v>
      </c>
      <c r="P107" s="52">
        <f>N107/M107*100</f>
        <v>59.923370662750145</v>
      </c>
      <c r="Q107" s="52">
        <f>N107-26764.7</f>
        <v>-10444.57</v>
      </c>
      <c r="R107" s="139">
        <f>N107/26764.7</f>
        <v>0.6097632329149962</v>
      </c>
    </row>
    <row r="108" spans="1:18" s="73" customFormat="1" ht="18.75">
      <c r="A108" s="69"/>
      <c r="B108" s="70" t="s">
        <v>144</v>
      </c>
      <c r="C108" s="93"/>
      <c r="D108" s="71">
        <f>D106-D107</f>
        <v>50247.20000000001</v>
      </c>
      <c r="E108" s="71">
        <f>E106-E107</f>
        <v>8027.0999999999985</v>
      </c>
      <c r="F108" s="71">
        <f>F106-F107</f>
        <v>2859.0599999999977</v>
      </c>
      <c r="G108" s="62">
        <f>F108-E108</f>
        <v>-5168.040000000001</v>
      </c>
      <c r="H108" s="72">
        <f>F108/E108*100</f>
        <v>35.61759539559739</v>
      </c>
      <c r="I108" s="52">
        <f t="shared" si="36"/>
        <v>-47388.140000000014</v>
      </c>
      <c r="J108" s="52">
        <f t="shared" si="38"/>
        <v>5.689988695887526</v>
      </c>
      <c r="K108" s="52">
        <f>F108-7757</f>
        <v>-4897.940000000002</v>
      </c>
      <c r="L108" s="52">
        <f>F108/7757*100</f>
        <v>36.85780585277811</v>
      </c>
      <c r="M108" s="71">
        <f>M106-M107</f>
        <v>8027.0999999999985</v>
      </c>
      <c r="N108" s="71">
        <f>N106-N107</f>
        <v>2859.0599999999977</v>
      </c>
      <c r="O108" s="53">
        <f t="shared" si="37"/>
        <v>-5168.040000000001</v>
      </c>
      <c r="P108" s="52">
        <f>N108/M108*100</f>
        <v>35.61759539559739</v>
      </c>
      <c r="Q108" s="52">
        <f>N108-7757</f>
        <v>-4897.940000000002</v>
      </c>
      <c r="R108" s="139">
        <f>N108/7757</f>
        <v>0.3685780585277811</v>
      </c>
    </row>
    <row r="109" spans="1:18" s="73" customFormat="1" ht="18.75">
      <c r="A109" s="69"/>
      <c r="B109" s="82" t="s">
        <v>152</v>
      </c>
      <c r="C109" s="93"/>
      <c r="D109" s="71">
        <v>0</v>
      </c>
      <c r="E109" s="121">
        <v>0</v>
      </c>
      <c r="F109" s="71">
        <f>F107</f>
        <v>16320.130000000001</v>
      </c>
      <c r="G109" s="111">
        <f>F109-E109</f>
        <v>16320.130000000001</v>
      </c>
      <c r="H109" s="72" t="e">
        <f>F109/E109*100</f>
        <v>#DIV/0!</v>
      </c>
      <c r="I109" s="81">
        <f t="shared" si="36"/>
        <v>16320.130000000001</v>
      </c>
      <c r="J109" s="52" t="e">
        <f t="shared" si="38"/>
        <v>#DIV/0!</v>
      </c>
      <c r="K109" s="52"/>
      <c r="L109" s="52"/>
      <c r="M109" s="122">
        <v>0</v>
      </c>
      <c r="N109" s="71">
        <f>N107</f>
        <v>16320.130000000001</v>
      </c>
      <c r="O109" s="118">
        <f t="shared" si="37"/>
        <v>16320.130000000001</v>
      </c>
      <c r="P109" s="52" t="e">
        <f>N109/M109*100</f>
        <v>#DIV/0!</v>
      </c>
      <c r="Q109" s="52"/>
      <c r="R109" s="139"/>
    </row>
    <row r="110" spans="1:18" s="73" customFormat="1" ht="18.75">
      <c r="A110" s="69"/>
      <c r="B110" s="83" t="s">
        <v>154</v>
      </c>
      <c r="C110" s="93"/>
      <c r="D110" s="84">
        <v>4870.38</v>
      </c>
      <c r="E110" s="71">
        <v>1650</v>
      </c>
      <c r="F110" s="87">
        <f>'[1]січень'!$C$27/1000</f>
        <v>990.588</v>
      </c>
      <c r="G110" s="62">
        <f>F110-E110</f>
        <v>-659.412</v>
      </c>
      <c r="H110" s="72"/>
      <c r="I110" s="85">
        <f t="shared" si="36"/>
        <v>-3879.7920000000004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184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139</v>
      </c>
      <c r="C113" s="106">
        <v>12020000</v>
      </c>
      <c r="D113" s="33">
        <v>0</v>
      </c>
      <c r="E113" s="33">
        <v>0</v>
      </c>
      <c r="F113" s="32">
        <v>0.12</v>
      </c>
      <c r="G113" s="49">
        <f aca="true" t="shared" si="39" ref="G113:G125">F113-E113</f>
        <v>0.12</v>
      </c>
      <c r="H113" s="40"/>
      <c r="I113" s="60">
        <f aca="true" t="shared" si="40" ref="I113:I124">F113-D113</f>
        <v>0.12</v>
      </c>
      <c r="J113" s="60"/>
      <c r="K113" s="60">
        <f>F113-0.09</f>
        <v>0.03</v>
      </c>
      <c r="L113" s="60">
        <f>F113/0.09*100</f>
        <v>133.33333333333331</v>
      </c>
      <c r="M113" s="40">
        <f>E113</f>
        <v>0</v>
      </c>
      <c r="N113" s="40">
        <f>F113</f>
        <v>0.12</v>
      </c>
      <c r="O113" s="53"/>
      <c r="P113" s="60"/>
      <c r="Q113" s="60">
        <f>N113-0.09</f>
        <v>0.03</v>
      </c>
      <c r="R113" s="140"/>
    </row>
    <row r="114" spans="2:18" ht="15.75">
      <c r="B114" s="30" t="s">
        <v>131</v>
      </c>
      <c r="C114" s="106">
        <v>12030000</v>
      </c>
      <c r="D114" s="33">
        <v>3378.16</v>
      </c>
      <c r="E114" s="33">
        <v>563.03</v>
      </c>
      <c r="F114" s="32">
        <v>46.34</v>
      </c>
      <c r="G114" s="49">
        <f t="shared" si="39"/>
        <v>-516.6899999999999</v>
      </c>
      <c r="H114" s="40">
        <f aca="true" t="shared" si="41" ref="H114:H125">F114/E114*100</f>
        <v>8.230467293039448</v>
      </c>
      <c r="I114" s="60">
        <f t="shared" si="40"/>
        <v>-3331.8199999999997</v>
      </c>
      <c r="J114" s="60">
        <f aca="true" t="shared" si="42" ref="J114:J120">F114/D114*100</f>
        <v>1.371752670092595</v>
      </c>
      <c r="K114" s="60">
        <f>F114-246.7</f>
        <v>-200.35999999999999</v>
      </c>
      <c r="L114" s="60">
        <f>F114/246.7*100</f>
        <v>18.783948115119582</v>
      </c>
      <c r="M114" s="40">
        <f>E114</f>
        <v>563.03</v>
      </c>
      <c r="N114" s="40">
        <f>F114</f>
        <v>46.34</v>
      </c>
      <c r="O114" s="53">
        <f aca="true" t="shared" si="43" ref="O114:O125">N114-M114</f>
        <v>-516.6899999999999</v>
      </c>
      <c r="P114" s="60">
        <f>N114/M114*100</f>
        <v>8.230467293039448</v>
      </c>
      <c r="Q114" s="60">
        <f>N114-246.7</f>
        <v>-200.35999999999999</v>
      </c>
      <c r="R114" s="140">
        <f>N114/246.7</f>
        <v>0.1878394811511958</v>
      </c>
    </row>
    <row r="115" spans="2:18" ht="31.5">
      <c r="B115" s="30" t="s">
        <v>172</v>
      </c>
      <c r="C115" s="106">
        <v>18041500</v>
      </c>
      <c r="D115" s="33">
        <v>150</v>
      </c>
      <c r="E115" s="33">
        <v>25</v>
      </c>
      <c r="F115" s="32">
        <v>25</v>
      </c>
      <c r="G115" s="49">
        <f t="shared" si="39"/>
        <v>0</v>
      </c>
      <c r="H115" s="40">
        <f t="shared" si="41"/>
        <v>100</v>
      </c>
      <c r="I115" s="60">
        <f t="shared" si="40"/>
        <v>-125</v>
      </c>
      <c r="J115" s="60">
        <f t="shared" si="42"/>
        <v>16.666666666666664</v>
      </c>
      <c r="K115" s="60">
        <f>F115-22.5</f>
        <v>2.5</v>
      </c>
      <c r="L115" s="60">
        <f>F115/22.5*100</f>
        <v>111.11111111111111</v>
      </c>
      <c r="M115" s="40">
        <f>E115</f>
        <v>25</v>
      </c>
      <c r="N115" s="40">
        <f>F115</f>
        <v>25</v>
      </c>
      <c r="O115" s="53">
        <f t="shared" si="43"/>
        <v>0</v>
      </c>
      <c r="P115" s="60">
        <f>N115/M115*100</f>
        <v>100</v>
      </c>
      <c r="Q115" s="60">
        <f>N115-22.5</f>
        <v>2.5</v>
      </c>
      <c r="R115" s="140">
        <f>N115/22.5</f>
        <v>1.1111111111111112</v>
      </c>
    </row>
    <row r="116" spans="2:18" ht="15.75">
      <c r="B116" s="37" t="s">
        <v>130</v>
      </c>
      <c r="C116" s="107"/>
      <c r="D116" s="38">
        <f>D114+D115+D113</f>
        <v>3528.16</v>
      </c>
      <c r="E116" s="38">
        <f>E114+E115+E113</f>
        <v>588.03</v>
      </c>
      <c r="F116" s="38">
        <f>SUM(F113:F115)</f>
        <v>71.46000000000001</v>
      </c>
      <c r="G116" s="62">
        <f t="shared" si="39"/>
        <v>-516.5699999999999</v>
      </c>
      <c r="H116" s="72">
        <f t="shared" si="41"/>
        <v>12.152441201979492</v>
      </c>
      <c r="I116" s="61">
        <f t="shared" si="40"/>
        <v>-3456.7</v>
      </c>
      <c r="J116" s="61">
        <f t="shared" si="42"/>
        <v>2.0254183483742234</v>
      </c>
      <c r="K116" s="61">
        <f>F116-270.1</f>
        <v>-198.64000000000001</v>
      </c>
      <c r="L116" s="61">
        <f>F116/270.1*100</f>
        <v>26.45686782673084</v>
      </c>
      <c r="M116" s="62">
        <f>M114+M115+M113</f>
        <v>588.03</v>
      </c>
      <c r="N116" s="38">
        <f>SUM(N113:N115)</f>
        <v>71.46000000000001</v>
      </c>
      <c r="O116" s="61">
        <f t="shared" si="43"/>
        <v>-516.5699999999999</v>
      </c>
      <c r="P116" s="61">
        <f>N116/M116*100</f>
        <v>12.152441201979492</v>
      </c>
      <c r="Q116" s="61">
        <f>N116-270.1</f>
        <v>-198.64000000000001</v>
      </c>
      <c r="R116" s="141">
        <f>N116/270.1</f>
        <v>0.2645686782673084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9"/>
        <v>0</v>
      </c>
      <c r="H117" s="40" t="e">
        <f t="shared" si="41"/>
        <v>#DIV/0!</v>
      </c>
      <c r="I117" s="60">
        <f t="shared" si="40"/>
        <v>0</v>
      </c>
      <c r="J117" s="60" t="e">
        <f t="shared" si="42"/>
        <v>#DIV/0!</v>
      </c>
      <c r="K117" s="60"/>
      <c r="L117" s="60"/>
      <c r="M117" s="41">
        <v>0</v>
      </c>
      <c r="N117" s="41">
        <f>F117</f>
        <v>0</v>
      </c>
      <c r="O117" s="53">
        <f t="shared" si="43"/>
        <v>0</v>
      </c>
      <c r="P117" s="60" t="e">
        <f>N117/M117*100</f>
        <v>#DIV/0!</v>
      </c>
      <c r="Q117" s="60"/>
      <c r="R117" s="140"/>
    </row>
    <row r="118" spans="2:18" ht="31.5">
      <c r="B118" s="14" t="s">
        <v>159</v>
      </c>
      <c r="C118" s="108">
        <v>18010100</v>
      </c>
      <c r="D118" s="33">
        <v>0</v>
      </c>
      <c r="E118" s="33">
        <v>0</v>
      </c>
      <c r="F118" s="33">
        <v>10.55</v>
      </c>
      <c r="G118" s="49">
        <f t="shared" si="39"/>
        <v>10.55</v>
      </c>
      <c r="H118" s="40" t="e">
        <f t="shared" si="41"/>
        <v>#DIV/0!</v>
      </c>
      <c r="I118" s="60">
        <f t="shared" si="40"/>
        <v>10.55</v>
      </c>
      <c r="J118" s="60" t="e">
        <f t="shared" si="42"/>
        <v>#DIV/0!</v>
      </c>
      <c r="K118" s="60">
        <f>F118-0.2</f>
        <v>10.350000000000001</v>
      </c>
      <c r="L118" s="60">
        <f>F118/0.2*100</f>
        <v>5275</v>
      </c>
      <c r="M118" s="40">
        <f>E118</f>
        <v>0</v>
      </c>
      <c r="N118" s="40">
        <f>F118</f>
        <v>10.55</v>
      </c>
      <c r="O118" s="53" t="s">
        <v>168</v>
      </c>
      <c r="P118" s="60"/>
      <c r="Q118" s="60">
        <f>N118-0.2</f>
        <v>10.350000000000001</v>
      </c>
      <c r="R118" s="140">
        <f>N118/0.2</f>
        <v>52.75</v>
      </c>
    </row>
    <row r="119" spans="2:18" s="48" customFormat="1" ht="15.75">
      <c r="B119" s="15" t="s">
        <v>141</v>
      </c>
      <c r="C119" s="108">
        <v>18050000</v>
      </c>
      <c r="D119" s="33">
        <v>0</v>
      </c>
      <c r="E119" s="33">
        <v>0</v>
      </c>
      <c r="F119" s="33">
        <v>5180.26</v>
      </c>
      <c r="G119" s="49">
        <f t="shared" si="39"/>
        <v>5180.26</v>
      </c>
      <c r="H119" s="40" t="e">
        <f t="shared" si="41"/>
        <v>#DIV/0!</v>
      </c>
      <c r="I119" s="53">
        <f t="shared" si="40"/>
        <v>5180.26</v>
      </c>
      <c r="J119" s="60" t="e">
        <f t="shared" si="42"/>
        <v>#DIV/0!</v>
      </c>
      <c r="K119" s="60">
        <f>F119-6357.6</f>
        <v>-1177.3400000000001</v>
      </c>
      <c r="L119" s="60">
        <f>F119/6357.6*100</f>
        <v>81.48137662010822</v>
      </c>
      <c r="M119" s="40">
        <f>E119</f>
        <v>0</v>
      </c>
      <c r="N119" s="40">
        <f>F119</f>
        <v>5180.26</v>
      </c>
      <c r="O119" s="53">
        <f t="shared" si="43"/>
        <v>5180.26</v>
      </c>
      <c r="P119" s="60" t="e">
        <f aca="true" t="shared" si="44" ref="P119:P124">N119/M119*100</f>
        <v>#DIV/0!</v>
      </c>
      <c r="Q119" s="60">
        <f>N119-6357.6</f>
        <v>-1177.3400000000001</v>
      </c>
      <c r="R119" s="140">
        <f>N119/6357.6</f>
        <v>0.8148137662010821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0.029</v>
      </c>
      <c r="G120" s="49">
        <f t="shared" si="39"/>
        <v>0.029</v>
      </c>
      <c r="H120" s="40" t="e">
        <f t="shared" si="41"/>
        <v>#DIV/0!</v>
      </c>
      <c r="I120" s="60">
        <f t="shared" si="40"/>
        <v>0.029</v>
      </c>
      <c r="J120" s="60" t="e">
        <f t="shared" si="42"/>
        <v>#DIV/0!</v>
      </c>
      <c r="K120" s="60">
        <f>F120-230.3</f>
        <v>-230.27100000000002</v>
      </c>
      <c r="L120" s="60">
        <f>F120/230.3*100</f>
        <v>0.012592270950933565</v>
      </c>
      <c r="M120" s="40">
        <f>E120</f>
        <v>0</v>
      </c>
      <c r="N120" s="40">
        <f>F120</f>
        <v>0.029</v>
      </c>
      <c r="O120" s="53">
        <f t="shared" si="43"/>
        <v>0.029</v>
      </c>
      <c r="P120" s="60" t="e">
        <f t="shared" si="44"/>
        <v>#DIV/0!</v>
      </c>
      <c r="Q120" s="60">
        <f>N120-230.3</f>
        <v>-230.27100000000002</v>
      </c>
      <c r="R120" s="140">
        <f>N120/230.3</f>
        <v>0.00012592270950933566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347.83</v>
      </c>
      <c r="G121" s="49">
        <f t="shared" si="39"/>
        <v>347.83</v>
      </c>
      <c r="H121" s="40" t="e">
        <f t="shared" si="41"/>
        <v>#DIV/0!</v>
      </c>
      <c r="I121" s="60">
        <f t="shared" si="40"/>
        <v>347.83</v>
      </c>
      <c r="J121" s="60" t="e">
        <f>F121/D121*100</f>
        <v>#DIV/0!</v>
      </c>
      <c r="K121" s="60">
        <f>F121-238.5</f>
        <v>109.32999999999998</v>
      </c>
      <c r="L121" s="60">
        <f>F121/238.5*100</f>
        <v>145.8406708595388</v>
      </c>
      <c r="M121" s="40">
        <f>E121</f>
        <v>0</v>
      </c>
      <c r="N121" s="40">
        <f>F121</f>
        <v>347.83</v>
      </c>
      <c r="O121" s="53">
        <f t="shared" si="43"/>
        <v>347.83</v>
      </c>
      <c r="P121" s="60" t="e">
        <f t="shared" si="44"/>
        <v>#DIV/0!</v>
      </c>
      <c r="Q121" s="60">
        <f>N121-238.5</f>
        <v>109.32999999999998</v>
      </c>
      <c r="R121" s="140">
        <f>N121/238.5</f>
        <v>1.4584067085953878</v>
      </c>
    </row>
    <row r="122" spans="2:18" ht="31.5">
      <c r="B122" s="30" t="s">
        <v>158</v>
      </c>
      <c r="C122" s="106">
        <v>24170000</v>
      </c>
      <c r="D122" s="33">
        <v>0</v>
      </c>
      <c r="E122" s="33">
        <v>0</v>
      </c>
      <c r="F122" s="33">
        <v>0</v>
      </c>
      <c r="G122" s="49">
        <f t="shared" si="39"/>
        <v>0</v>
      </c>
      <c r="H122" s="40" t="e">
        <f t="shared" si="41"/>
        <v>#DIV/0!</v>
      </c>
      <c r="I122" s="60">
        <f t="shared" si="40"/>
        <v>0</v>
      </c>
      <c r="J122" s="60" t="e">
        <f>F122/D122*100</f>
        <v>#DIV/0!</v>
      </c>
      <c r="K122" s="60">
        <f>F122-14.6</f>
        <v>-14.6</v>
      </c>
      <c r="L122" s="60">
        <f>F122/14.6*100</f>
        <v>0</v>
      </c>
      <c r="M122" s="40">
        <f>E122</f>
        <v>0</v>
      </c>
      <c r="N122" s="40">
        <f>F122</f>
        <v>0</v>
      </c>
      <c r="O122" s="53">
        <f t="shared" si="43"/>
        <v>0</v>
      </c>
      <c r="P122" s="60" t="e">
        <f t="shared" si="44"/>
        <v>#DIV/0!</v>
      </c>
      <c r="Q122" s="60">
        <f>N122-14.6</f>
        <v>-14.6</v>
      </c>
      <c r="R122" s="140">
        <f>N122/14.6</f>
        <v>0</v>
      </c>
    </row>
    <row r="123" spans="2:18" ht="34.5">
      <c r="B123" s="37" t="s">
        <v>146</v>
      </c>
      <c r="C123" s="95"/>
      <c r="D123" s="38">
        <f>D119+D120+D121+D122+D118</f>
        <v>0</v>
      </c>
      <c r="E123" s="38">
        <f>E119+E120+E121+E122+E118</f>
        <v>0</v>
      </c>
      <c r="F123" s="38">
        <f>F119+F120+F121+F122+F118</f>
        <v>5538.669000000001</v>
      </c>
      <c r="G123" s="62">
        <f t="shared" si="39"/>
        <v>5538.669000000001</v>
      </c>
      <c r="H123" s="72" t="e">
        <f t="shared" si="41"/>
        <v>#DIV/0!</v>
      </c>
      <c r="I123" s="61">
        <f t="shared" si="40"/>
        <v>5538.669000000001</v>
      </c>
      <c r="J123" s="61" t="e">
        <f>F123/D123*100</f>
        <v>#DIV/0!</v>
      </c>
      <c r="K123" s="61">
        <f>F123-6841.1</f>
        <v>-1302.4309999999996</v>
      </c>
      <c r="L123" s="61">
        <f>F123/6841.1*100</f>
        <v>80.96167283039279</v>
      </c>
      <c r="M123" s="62">
        <f>M119+M120+M121+M122+M118</f>
        <v>0</v>
      </c>
      <c r="N123" s="62">
        <f>N119+N120+N121+N122+N118</f>
        <v>5538.669000000001</v>
      </c>
      <c r="O123" s="61">
        <f t="shared" si="43"/>
        <v>5538.669000000001</v>
      </c>
      <c r="P123" s="61" t="e">
        <f t="shared" si="44"/>
        <v>#DIV/0!</v>
      </c>
      <c r="Q123" s="61">
        <f>N123-6841.1</f>
        <v>-1302.4309999999996</v>
      </c>
      <c r="R123" s="141">
        <f>N123/6841.1</f>
        <v>0.8096167283039278</v>
      </c>
    </row>
    <row r="124" spans="2:18" ht="47.25">
      <c r="B124" s="14" t="s">
        <v>124</v>
      </c>
      <c r="C124" s="109">
        <v>24062100</v>
      </c>
      <c r="D124" s="33">
        <v>0</v>
      </c>
      <c r="E124" s="33">
        <v>0</v>
      </c>
      <c r="F124" s="33">
        <v>0.16</v>
      </c>
      <c r="G124" s="49">
        <f t="shared" si="39"/>
        <v>0.16</v>
      </c>
      <c r="H124" s="40" t="e">
        <f t="shared" si="41"/>
        <v>#DIV/0!</v>
      </c>
      <c r="I124" s="60">
        <f t="shared" si="40"/>
        <v>0.16</v>
      </c>
      <c r="J124" s="60" t="e">
        <f>F124/D124*100</f>
        <v>#DIV/0!</v>
      </c>
      <c r="K124" s="60">
        <f>F124-0.3</f>
        <v>-0.13999999999999999</v>
      </c>
      <c r="L124" s="60">
        <f>F124/0.3*100</f>
        <v>53.333333333333336</v>
      </c>
      <c r="M124" s="40">
        <f>E124</f>
        <v>0</v>
      </c>
      <c r="N124" s="40">
        <f>F124</f>
        <v>0.16</v>
      </c>
      <c r="O124" s="53">
        <f t="shared" si="43"/>
        <v>0.16</v>
      </c>
      <c r="P124" s="60" t="e">
        <f t="shared" si="44"/>
        <v>#DIV/0!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9"/>
        <v>0</v>
      </c>
      <c r="H125" s="40" t="e">
        <f t="shared" si="41"/>
        <v>#DIV/0!</v>
      </c>
      <c r="I125" s="63"/>
      <c r="J125" s="63"/>
      <c r="K125" s="63"/>
      <c r="L125" s="60">
        <f>F125</f>
        <v>0</v>
      </c>
      <c r="M125" s="40">
        <f>E125</f>
        <v>0</v>
      </c>
      <c r="N125" s="40">
        <f>F125</f>
        <v>0</v>
      </c>
      <c r="O125" s="53">
        <f t="shared" si="43"/>
        <v>0</v>
      </c>
      <c r="P125" s="63"/>
      <c r="Q125" s="63"/>
      <c r="R125" s="142"/>
    </row>
    <row r="126" spans="2:18" ht="15.75">
      <c r="B126" s="30" t="s">
        <v>148</v>
      </c>
      <c r="C126" s="106">
        <v>24061600</v>
      </c>
      <c r="D126" s="33">
        <v>0</v>
      </c>
      <c r="E126" s="33">
        <v>0</v>
      </c>
      <c r="F126" s="33">
        <v>0</v>
      </c>
      <c r="G126" s="49"/>
      <c r="H126" s="40"/>
      <c r="I126" s="63"/>
      <c r="J126" s="63"/>
      <c r="K126" s="53">
        <f>F126-0</f>
        <v>0</v>
      </c>
      <c r="L126" s="60" t="e">
        <f>F126/0*100</f>
        <v>#DIV/0!</v>
      </c>
      <c r="M126" s="40">
        <f>E126</f>
        <v>0</v>
      </c>
      <c r="N126" s="40">
        <f>F126</f>
        <v>0</v>
      </c>
      <c r="O126" s="53"/>
      <c r="P126" s="63"/>
      <c r="Q126" s="63">
        <f>N126-0</f>
        <v>0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4380.58</v>
      </c>
      <c r="E127" s="33">
        <v>730.1</v>
      </c>
      <c r="F127" s="33">
        <v>7.96</v>
      </c>
      <c r="G127" s="49">
        <f aca="true" t="shared" si="45" ref="G127:G134">F127-E127</f>
        <v>-722.14</v>
      </c>
      <c r="H127" s="40">
        <f>F127/E127*100</f>
        <v>1.0902616079989043</v>
      </c>
      <c r="I127" s="60">
        <f aca="true" t="shared" si="46" ref="I127:I134">F127-D127</f>
        <v>-4372.62</v>
      </c>
      <c r="J127" s="60">
        <f>F127/D127*100</f>
        <v>0.1817110976172105</v>
      </c>
      <c r="K127" s="60">
        <f>F127-84.2</f>
        <v>-76.24000000000001</v>
      </c>
      <c r="L127" s="60">
        <f>F127/84.2*100</f>
        <v>9.453681710213777</v>
      </c>
      <c r="M127" s="40">
        <f>E127</f>
        <v>730.1</v>
      </c>
      <c r="N127" s="40">
        <f>F127</f>
        <v>7.96</v>
      </c>
      <c r="O127" s="53">
        <f aca="true" t="shared" si="47" ref="O127:O134">N127-M127</f>
        <v>-722.14</v>
      </c>
      <c r="P127" s="60">
        <f>N127/M127*100</f>
        <v>1.0902616079989043</v>
      </c>
      <c r="Q127" s="60">
        <f>N127-84.2</f>
        <v>-76.24000000000001</v>
      </c>
      <c r="R127" s="140">
        <f>N127/84.2</f>
        <v>0.09453681710213777</v>
      </c>
    </row>
    <row r="128" spans="2:18" ht="31.5">
      <c r="B128" s="30" t="s">
        <v>142</v>
      </c>
      <c r="C128" s="106">
        <v>19050000</v>
      </c>
      <c r="D128" s="33">
        <v>0</v>
      </c>
      <c r="E128" s="33">
        <v>0</v>
      </c>
      <c r="F128" s="33">
        <v>0.046</v>
      </c>
      <c r="G128" s="49">
        <f t="shared" si="45"/>
        <v>0.046</v>
      </c>
      <c r="H128" s="40"/>
      <c r="I128" s="60">
        <f t="shared" si="46"/>
        <v>0.046</v>
      </c>
      <c r="J128" s="60"/>
      <c r="K128" s="60">
        <f>F128-0.2</f>
        <v>-0.15400000000000003</v>
      </c>
      <c r="L128" s="60">
        <f>F128/0.2</f>
        <v>0.22999999999999998</v>
      </c>
      <c r="M128" s="40">
        <f>E128</f>
        <v>0</v>
      </c>
      <c r="N128" s="40">
        <f>F128</f>
        <v>0.046</v>
      </c>
      <c r="O128" s="53">
        <f t="shared" si="47"/>
        <v>0.046</v>
      </c>
      <c r="P128" s="60"/>
      <c r="Q128" s="60">
        <f>N128-0.2</f>
        <v>-0.15400000000000003</v>
      </c>
      <c r="R128" s="140"/>
    </row>
    <row r="129" spans="2:18" ht="31.5">
      <c r="B129" s="37" t="s">
        <v>134</v>
      </c>
      <c r="C129" s="106"/>
      <c r="D129" s="38">
        <f>D127+D124+D128+D126</f>
        <v>4380.58</v>
      </c>
      <c r="E129" s="38">
        <f>E127+E124+E128+E126</f>
        <v>730.1</v>
      </c>
      <c r="F129" s="38">
        <f>F127+F124+F128+F126</f>
        <v>8.165999999999999</v>
      </c>
      <c r="G129" s="62">
        <f t="shared" si="45"/>
        <v>-721.934</v>
      </c>
      <c r="H129" s="72">
        <f>F129/E129*100</f>
        <v>1.11847692096973</v>
      </c>
      <c r="I129" s="61">
        <f t="shared" si="46"/>
        <v>-4372.414</v>
      </c>
      <c r="J129" s="61">
        <f>F129/D129*100</f>
        <v>0.18641367124901265</v>
      </c>
      <c r="K129" s="61">
        <f>F129-84.8</f>
        <v>-76.634</v>
      </c>
      <c r="L129" s="61">
        <f>G129/84.8*100</f>
        <v>-851.3372641509434</v>
      </c>
      <c r="M129" s="62">
        <f>M124+M127+M128+M126</f>
        <v>730.1</v>
      </c>
      <c r="N129" s="62">
        <f>N124+N127+N128+N126</f>
        <v>8.165999999999999</v>
      </c>
      <c r="O129" s="61">
        <f t="shared" si="47"/>
        <v>-721.934</v>
      </c>
      <c r="P129" s="61">
        <f>N129/M129*100</f>
        <v>1.11847692096973</v>
      </c>
      <c r="Q129" s="61">
        <f>N129-84.8</f>
        <v>-76.634</v>
      </c>
      <c r="R129" s="139">
        <f>N129/1784.5</f>
        <v>0.004576071728775567</v>
      </c>
    </row>
    <row r="130" spans="2:18" ht="31.5">
      <c r="B130" s="14" t="s">
        <v>125</v>
      </c>
      <c r="C130" s="66">
        <v>24110900</v>
      </c>
      <c r="D130" s="33">
        <v>0</v>
      </c>
      <c r="E130" s="33">
        <v>0</v>
      </c>
      <c r="F130" s="33">
        <v>0</v>
      </c>
      <c r="G130" s="49">
        <f>F130-E130</f>
        <v>0</v>
      </c>
      <c r="H130" s="40" t="e">
        <f>F130/E130*100</f>
        <v>#DIV/0!</v>
      </c>
      <c r="I130" s="60">
        <f>F130-D130</f>
        <v>0</v>
      </c>
      <c r="J130" s="60" t="e">
        <f>F130/D130*100</f>
        <v>#DIV/0!</v>
      </c>
      <c r="K130" s="60">
        <f>F130-0</f>
        <v>0</v>
      </c>
      <c r="L130" s="60">
        <f>F130/34*100</f>
        <v>0</v>
      </c>
      <c r="M130" s="40">
        <f>E130</f>
        <v>0</v>
      </c>
      <c r="N130" s="40">
        <f>F130</f>
        <v>0</v>
      </c>
      <c r="O130" s="53">
        <f>N130-M130</f>
        <v>0</v>
      </c>
      <c r="P130" s="60" t="e">
        <f>N130/M130*100</f>
        <v>#DIV/0!</v>
      </c>
      <c r="Q130" s="60">
        <f>N130-0.8</f>
        <v>-0.8</v>
      </c>
      <c r="R130" s="140">
        <f>N130/84.8</f>
        <v>0</v>
      </c>
    </row>
    <row r="131" spans="2:18" ht="47.25">
      <c r="B131" s="30" t="s">
        <v>121</v>
      </c>
      <c r="C131" s="106">
        <v>21110000</v>
      </c>
      <c r="D131" s="33">
        <v>1812</v>
      </c>
      <c r="E131" s="33">
        <v>302</v>
      </c>
      <c r="F131" s="33">
        <v>0</v>
      </c>
      <c r="G131" s="49"/>
      <c r="H131" s="40"/>
      <c r="I131" s="60"/>
      <c r="J131" s="60"/>
      <c r="K131" s="60"/>
      <c r="L131" s="60"/>
      <c r="M131" s="40">
        <f>E131</f>
        <v>302</v>
      </c>
      <c r="N131" s="40">
        <f>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55.43</v>
      </c>
      <c r="E132" s="33">
        <v>9.24</v>
      </c>
      <c r="F132" s="33">
        <v>0</v>
      </c>
      <c r="G132" s="49">
        <f t="shared" si="45"/>
        <v>-9.24</v>
      </c>
      <c r="H132" s="40">
        <f>F132/E132*100</f>
        <v>0</v>
      </c>
      <c r="I132" s="60">
        <f t="shared" si="46"/>
        <v>-55.43</v>
      </c>
      <c r="J132" s="60">
        <f>F132/D132*100</f>
        <v>0</v>
      </c>
      <c r="K132" s="60"/>
      <c r="L132" s="60">
        <f>F132/65.9*100</f>
        <v>0</v>
      </c>
      <c r="M132" s="40">
        <f>E132</f>
        <v>9.24</v>
      </c>
      <c r="N132" s="40">
        <f>F132</f>
        <v>0</v>
      </c>
      <c r="O132" s="53">
        <f t="shared" si="47"/>
        <v>-9.24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9776.17</v>
      </c>
      <c r="E133" s="31">
        <f>E116+E130+E123+E129+E132+E131</f>
        <v>1629.3700000000001</v>
      </c>
      <c r="F133" s="31">
        <f>F116+F130+F123+F129+F132+F131</f>
        <v>5618.295000000001</v>
      </c>
      <c r="G133" s="50">
        <f t="shared" si="45"/>
        <v>3988.925000000001</v>
      </c>
      <c r="H133" s="51">
        <f>F133/E133*100</f>
        <v>344.8139464946575</v>
      </c>
      <c r="I133" s="36">
        <f t="shared" si="46"/>
        <v>-4157.874999999999</v>
      </c>
      <c r="J133" s="36">
        <f>F133/D133*100</f>
        <v>57.469285006295934</v>
      </c>
      <c r="K133" s="36">
        <f>F133-7196.4</f>
        <v>-1578.1049999999987</v>
      </c>
      <c r="L133" s="36">
        <f>F133/7196.4*100</f>
        <v>78.07091045522763</v>
      </c>
      <c r="M133" s="31">
        <f>M116+M130+M123+M129+M132+M131</f>
        <v>1629.3700000000001</v>
      </c>
      <c r="N133" s="31">
        <f>N116+N130+N123+N129+N132+N131</f>
        <v>5618.295000000001</v>
      </c>
      <c r="O133" s="36">
        <f t="shared" si="47"/>
        <v>3988.925000000001</v>
      </c>
      <c r="P133" s="36">
        <f>N133/M133*100</f>
        <v>344.8139464946575</v>
      </c>
      <c r="Q133" s="36">
        <f>N133-7196.4</f>
        <v>-1578.1049999999987</v>
      </c>
      <c r="R133" s="138">
        <f>N133/7196.4</f>
        <v>0.7807091045522763</v>
      </c>
    </row>
    <row r="134" spans="2:18" ht="18.75">
      <c r="B134" s="28" t="s">
        <v>115</v>
      </c>
      <c r="C134" s="96"/>
      <c r="D134" s="31">
        <f>D106+D133</f>
        <v>240753.37000000002</v>
      </c>
      <c r="E134" s="31">
        <f>E106+E133</f>
        <v>36891.47</v>
      </c>
      <c r="F134" s="31">
        <f>F106+F133</f>
        <v>24797.485</v>
      </c>
      <c r="G134" s="50">
        <f t="shared" si="45"/>
        <v>-12093.985</v>
      </c>
      <c r="H134" s="51">
        <f>F134/E134*100</f>
        <v>67.21739469855768</v>
      </c>
      <c r="I134" s="36">
        <f t="shared" si="46"/>
        <v>-215955.885</v>
      </c>
      <c r="J134" s="36">
        <f>F134/D134*100</f>
        <v>10.299953433673638</v>
      </c>
      <c r="K134" s="36">
        <f>F134-41718.2</f>
        <v>-16920.714999999997</v>
      </c>
      <c r="L134" s="36">
        <f>F134/41718.2*100</f>
        <v>59.44044805384701</v>
      </c>
      <c r="M134" s="22">
        <f>M106+M133</f>
        <v>36891.47</v>
      </c>
      <c r="N134" s="22">
        <f>N106+N133</f>
        <v>24797.485</v>
      </c>
      <c r="O134" s="36">
        <f t="shared" si="47"/>
        <v>-12093.985</v>
      </c>
      <c r="P134" s="36">
        <f>N134/M134*100</f>
        <v>67.21739469855768</v>
      </c>
      <c r="Q134" s="36">
        <f>N134-41718.2</f>
        <v>-16920.714999999997</v>
      </c>
      <c r="R134" s="138">
        <f>N134/41718.2</f>
        <v>0.5944044805384701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7</v>
      </c>
      <c r="D136" s="4" t="s">
        <v>118</v>
      </c>
    </row>
    <row r="137" spans="2:17" ht="31.5">
      <c r="B137" s="78" t="s">
        <v>156</v>
      </c>
      <c r="C137" s="39">
        <f>IF(O106&lt;0,ABS(O106/C136),0)</f>
        <v>2297.558571428571</v>
      </c>
      <c r="D137" s="4" t="s">
        <v>104</v>
      </c>
      <c r="G137" s="168"/>
      <c r="H137" s="168"/>
      <c r="I137" s="168"/>
      <c r="J137" s="168"/>
      <c r="K137" s="124"/>
      <c r="L137" s="124"/>
      <c r="P137" s="34"/>
      <c r="Q137" s="34"/>
    </row>
    <row r="138" spans="2:15" ht="34.5" customHeight="1">
      <c r="B138" s="79" t="s">
        <v>161</v>
      </c>
      <c r="C138" s="120">
        <v>41661</v>
      </c>
      <c r="D138" s="39">
        <v>3156.8</v>
      </c>
      <c r="N138" s="169"/>
      <c r="O138" s="169"/>
    </row>
    <row r="139" spans="3:15" ht="15.75">
      <c r="C139" s="120">
        <v>41660</v>
      </c>
      <c r="D139" s="39">
        <v>1655.9</v>
      </c>
      <c r="F139" s="4" t="s">
        <v>168</v>
      </c>
      <c r="G139" s="170" t="s">
        <v>153</v>
      </c>
      <c r="H139" s="170"/>
      <c r="I139" s="115">
        <f>'[1]залишки  (2)'!$G$9/1000</f>
        <v>13825.22196</v>
      </c>
      <c r="J139" s="171" t="s">
        <v>163</v>
      </c>
      <c r="K139" s="171"/>
      <c r="L139" s="171"/>
      <c r="M139" s="171"/>
      <c r="N139" s="169"/>
      <c r="O139" s="169"/>
    </row>
    <row r="140" spans="3:15" ht="15.75">
      <c r="C140" s="120">
        <v>41659</v>
      </c>
      <c r="D140" s="39">
        <v>2285.3</v>
      </c>
      <c r="G140" s="177" t="s">
        <v>157</v>
      </c>
      <c r="H140" s="177"/>
      <c r="I140" s="112">
        <v>0</v>
      </c>
      <c r="J140" s="178" t="s">
        <v>164</v>
      </c>
      <c r="K140" s="178"/>
      <c r="L140" s="178"/>
      <c r="M140" s="178"/>
      <c r="N140" s="169"/>
      <c r="O140" s="169"/>
    </row>
    <row r="141" spans="7:13" ht="15.75" customHeight="1">
      <c r="G141" s="170" t="s">
        <v>150</v>
      </c>
      <c r="H141" s="170"/>
      <c r="I141" s="112">
        <f>'[1]залишки  (2)'!$G$8/1000</f>
        <v>0</v>
      </c>
      <c r="J141" s="171" t="s">
        <v>165</v>
      </c>
      <c r="K141" s="171"/>
      <c r="L141" s="171"/>
      <c r="M141" s="171"/>
    </row>
    <row r="142" spans="2:13" ht="18.75" customHeight="1">
      <c r="B142" s="183" t="s">
        <v>162</v>
      </c>
      <c r="C142" s="184"/>
      <c r="D142" s="117">
        <f>'[1]залишки  (2)'!$G$6/1000</f>
        <v>108964.00966</v>
      </c>
      <c r="E142" s="80"/>
      <c r="F142" s="100" t="s">
        <v>149</v>
      </c>
      <c r="G142" s="170" t="s">
        <v>151</v>
      </c>
      <c r="H142" s="170"/>
      <c r="I142" s="116">
        <f>'[1]залишки  (2)'!$G$10/1000</f>
        <v>95138.78769999999</v>
      </c>
      <c r="J142" s="171" t="s">
        <v>166</v>
      </c>
      <c r="K142" s="171"/>
      <c r="L142" s="171"/>
      <c r="M142" s="171"/>
    </row>
    <row r="143" spans="7:12" ht="9.75" customHeight="1">
      <c r="G143" s="179"/>
      <c r="H143" s="179"/>
      <c r="I143" s="98"/>
      <c r="J143" s="99"/>
      <c r="K143" s="99"/>
      <c r="L143" s="99"/>
    </row>
    <row r="144" spans="2:12" ht="22.5" customHeight="1">
      <c r="B144" s="180" t="s">
        <v>169</v>
      </c>
      <c r="C144" s="181"/>
      <c r="D144" s="119">
        <v>0</v>
      </c>
      <c r="E144" s="77" t="s">
        <v>104</v>
      </c>
      <c r="G144" s="179"/>
      <c r="H144" s="179"/>
      <c r="I144" s="98"/>
      <c r="J144" s="99"/>
      <c r="K144" s="99"/>
      <c r="L144" s="99"/>
    </row>
    <row r="145" spans="4:15" ht="15.75">
      <c r="D145" s="114"/>
      <c r="N145" s="179"/>
      <c r="O145" s="179"/>
    </row>
    <row r="146" spans="4:15" ht="15.75">
      <c r="D146" s="113"/>
      <c r="I146" s="39"/>
      <c r="N146" s="182"/>
      <c r="O146" s="182"/>
    </row>
    <row r="147" spans="14:15" ht="15.75">
      <c r="N147" s="179"/>
      <c r="O147" s="179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2014-01-23T14:16:15Z</cp:lastPrinted>
  <dcterms:created xsi:type="dcterms:W3CDTF">2003-07-28T11:27:56Z</dcterms:created>
  <dcterms:modified xsi:type="dcterms:W3CDTF">2014-01-23T14:16:42Z</dcterms:modified>
  <cp:category/>
  <cp:version/>
  <cp:contentType/>
  <cp:contentStatus/>
</cp:coreProperties>
</file>